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2010" windowWidth="11895" windowHeight="6360" activeTab="0"/>
  </bookViews>
  <sheets>
    <sheet name="Leasing, Bar- und Kreditkauf" sheetId="1" r:id="rId1"/>
    <sheet name="Auto- und Hausbank" sheetId="2" r:id="rId2"/>
    <sheet name="Eff1" sheetId="3" state="hidden" r:id="rId3"/>
    <sheet name="Eff2" sheetId="4" state="hidden" r:id="rId4"/>
    <sheet name="Eff3" sheetId="5" state="hidden" r:id="rId5"/>
  </sheets>
  <definedNames/>
  <calcPr fullCalcOnLoad="1"/>
</workbook>
</file>

<file path=xl/sharedStrings.xml><?xml version="1.0" encoding="utf-8"?>
<sst xmlns="http://schemas.openxmlformats.org/spreadsheetml/2006/main" count="365" uniqueCount="112">
  <si>
    <t>Listenpreis des Fahrzeugs</t>
  </si>
  <si>
    <t>DM</t>
  </si>
  <si>
    <t>Barkauf</t>
  </si>
  <si>
    <t>Kauf über Kredit</t>
  </si>
  <si>
    <t>Laufzeit</t>
  </si>
  <si>
    <t>Monate</t>
  </si>
  <si>
    <t>(nachschüssig)</t>
  </si>
  <si>
    <t xml:space="preserve">Abzinsungsfaktor für 1. Monat </t>
  </si>
  <si>
    <t>+ eingesetztes Eigenkapital</t>
  </si>
  <si>
    <t>Leasing</t>
  </si>
  <si>
    <t>Restwert</t>
  </si>
  <si>
    <t>(vorschüssig)</t>
  </si>
  <si>
    <t>Barwert der Leasingraten (Monatl. Rate x Faktor für Leasing)</t>
  </si>
  <si>
    <t xml:space="preserve">+ Sonderzahlung von </t>
  </si>
  <si>
    <t>Abzinsungsfaktor für Restwert</t>
  </si>
  <si>
    <t>+ abgezinster Restwert (Restwert x Faktor für Restwert)</t>
  </si>
  <si>
    <t>Abzinsungsfaktor für Schlussrate</t>
  </si>
  <si>
    <t>Monatliche  Rate</t>
  </si>
  <si>
    <t>Sonderzahlung</t>
  </si>
  <si>
    <t>Mischzins aus Kredit- u. Anlagezins (Ø)</t>
  </si>
  <si>
    <t>effektiver Jahreszins (Kredit)</t>
  </si>
  <si>
    <t>Sparzins (Anlage)</t>
  </si>
  <si>
    <t>Rabatt auf Autopreis</t>
  </si>
  <si>
    <t>Abzinsungsfaktor für Ø-Monatsrate der Finanzierung</t>
  </si>
  <si>
    <t>Abzinsungsfaktor für Leasing</t>
  </si>
  <si>
    <t>./. Ihr Nachlass beim Händler</t>
  </si>
  <si>
    <t>Effektivzins</t>
  </si>
  <si>
    <t>zu finanz.</t>
  </si>
  <si>
    <t>Summe</t>
  </si>
  <si>
    <t>m</t>
  </si>
  <si>
    <t>R</t>
  </si>
  <si>
    <r>
      <t>K</t>
    </r>
    <r>
      <rPr>
        <vertAlign val="subscript"/>
        <sz val="8"/>
        <rFont val="Arial"/>
        <family val="2"/>
      </rPr>
      <t>0</t>
    </r>
  </si>
  <si>
    <t>Zins</t>
  </si>
  <si>
    <t>BW-F</t>
  </si>
  <si>
    <t>S/Rate</t>
  </si>
  <si>
    <t>Diff.</t>
  </si>
  <si>
    <t>D 0,1</t>
  </si>
  <si>
    <t>Anz.</t>
  </si>
  <si>
    <t>Mon.</t>
  </si>
  <si>
    <t>mon. Rate</t>
  </si>
  <si>
    <t>Barwert der Finanzierung (Monatl. Rate x Faktor für Finanzierung)</t>
  </si>
  <si>
    <t>BW-F2</t>
  </si>
  <si>
    <t>BW-F3</t>
  </si>
  <si>
    <t>BWm1</t>
  </si>
  <si>
    <t>MWmS</t>
  </si>
  <si>
    <t>BWm1S</t>
  </si>
  <si>
    <t>1.</t>
  </si>
  <si>
    <t>BW-F4</t>
  </si>
  <si>
    <t>BW-1</t>
  </si>
  <si>
    <t>S</t>
  </si>
  <si>
    <t>BW-S</t>
  </si>
  <si>
    <t>BW-F1</t>
  </si>
  <si>
    <t>BW-F11</t>
  </si>
  <si>
    <t>BW-F111</t>
  </si>
  <si>
    <t>ohne Kommastelle</t>
  </si>
  <si>
    <t>eine Kommastelle</t>
  </si>
  <si>
    <t>zweite Kommastelle</t>
  </si>
  <si>
    <t>D 0,11</t>
  </si>
  <si>
    <t>dritte Kommastelle</t>
  </si>
  <si>
    <t>D 0,111</t>
  </si>
  <si>
    <t>D 1</t>
  </si>
  <si>
    <t>vierte Kommastelle</t>
  </si>
  <si>
    <t>D 0,1111</t>
  </si>
  <si>
    <t>fünfte Kommastelle</t>
  </si>
  <si>
    <t>5-stellig nach dem Komma</t>
  </si>
  <si>
    <t>D 0,11111</t>
  </si>
  <si>
    <t>Wer den Neuwagen über seine Hausbank finanziert, kann beim Händler als Barzahler auftreten und über einen Rabatt verhandeln.</t>
  </si>
  <si>
    <t>Hier können Sie ausrechnen, ab welchem Rabatt es günstiger wird, den gegenüber der Autobank in der Regel höheren Zinssatz der Hausbank zu zahlen. Bei der Finanzierung von Autos über die Spezialbanken der Hersteller räumen die Händler in aller Regel keinen Rabatt ein.</t>
  </si>
  <si>
    <t>Prozent</t>
  </si>
  <si>
    <t>= Gegenwartswert bei Kreditkauf</t>
  </si>
  <si>
    <t>= Gegenwartswert bei Leasing</t>
  </si>
  <si>
    <t xml:space="preserve">Effektiver Jahreszins des Kredits, der sich </t>
  </si>
  <si>
    <t>= zu finanzierender Gesamtbetrag</t>
  </si>
  <si>
    <t>dav. Autokredit</t>
  </si>
  <si>
    <t>Monatliche Rate</t>
  </si>
  <si>
    <t xml:space="preserve">Betrag </t>
  </si>
  <si>
    <t xml:space="preserve">aus der Ø-Monatsrate ergibt </t>
  </si>
  <si>
    <t>Kredit für Anzahlung</t>
  </si>
  <si>
    <t>Hauptkredit</t>
  </si>
  <si>
    <t>oder</t>
  </si>
  <si>
    <t>Zins von Autobank</t>
  </si>
  <si>
    <t>Zins von Hausbank</t>
  </si>
  <si>
    <t>Leasing, Bar- und Kreditkauf im Vergleich</t>
  </si>
  <si>
    <t>Autofinanzierung</t>
  </si>
  <si>
    <t>= Gegenwartswert bei Barkauf</t>
  </si>
  <si>
    <t>Autobank oder Hausbank?</t>
  </si>
  <si>
    <t>EUR</t>
  </si>
  <si>
    <t>http://www.stiftung-warentest.de</t>
  </si>
  <si>
    <t>Gesamtzahlung</t>
  </si>
  <si>
    <t>Mit diesem Diskontierungszinssatz wird abgezinst</t>
  </si>
  <si>
    <t xml:space="preserve">   Gesamtzahlung</t>
  </si>
  <si>
    <t xml:space="preserve">EUR </t>
  </si>
  <si>
    <r>
      <t xml:space="preserve">Dieses Excel-Programm errechnet die für Sie günstigste Finanzierungsart für Ihren Neuwagen. Holen Sie Angebote ein und geben Sie die Daten in die </t>
    </r>
    <r>
      <rPr>
        <u val="single"/>
        <sz val="9"/>
        <rFont val="Verdana"/>
        <family val="2"/>
      </rPr>
      <t>weißen Felder</t>
    </r>
    <r>
      <rPr>
        <sz val="9"/>
        <rFont val="Verdana"/>
        <family val="2"/>
      </rPr>
      <t xml:space="preserve"> ein. Bei den</t>
    </r>
    <r>
      <rPr>
        <u val="single"/>
        <sz val="9"/>
        <rFont val="Verdana"/>
        <family val="2"/>
      </rPr>
      <t xml:space="preserve"> weiß schraffierten Flächen</t>
    </r>
    <r>
      <rPr>
        <sz val="9"/>
        <rFont val="Verdana"/>
        <family val="2"/>
      </rPr>
      <t xml:space="preserve"> haben Sie die Wahl, ob sie die Höhe der Raten oder den Effektivzins angeben. Die </t>
    </r>
    <r>
      <rPr>
        <sz val="9"/>
        <color indexed="60"/>
        <rFont val="Verdana"/>
        <family val="2"/>
      </rPr>
      <t>rot schraffierten Flächen</t>
    </r>
    <r>
      <rPr>
        <sz val="9"/>
        <rFont val="Verdana"/>
        <family val="2"/>
      </rPr>
      <t xml:space="preserve"> zeigen zu Ihrer Kontrolle Zwischenergebnisse an, die sich aus Ihren Angaben ergeben. In den </t>
    </r>
    <r>
      <rPr>
        <sz val="9"/>
        <color indexed="60"/>
        <rFont val="Verdana"/>
        <family val="2"/>
      </rPr>
      <t>roten Feldern</t>
    </r>
    <r>
      <rPr>
        <sz val="9"/>
        <rFont val="Verdana"/>
        <family val="2"/>
      </rPr>
      <t xml:space="preserve"> wird jeweils der Gegenwartswert angezeigt, mit dem Sie alle drei Finanzierungsvarianten unmittelbar vergleichen können. </t>
    </r>
  </si>
  <si>
    <t>Reell ist der Vergleich nur, wenn Sie auch für Ihre Kreditfinanzierung nicht mit den konkreten, sondern mit den typischen Zinssätzen rechnen. Sie sollten deshalb das entsprechende Feld mit "x" markieren.</t>
  </si>
  <si>
    <t>Auf diesem Arbeitsblatt können Sie Ihre Finanzierungsangebote vergleichen. Das zweite Arbeitsblatt "Auto- und Hausbank" (Klick auf das Feld in der Leiste unten) ermöglicht zu überprüfen, ob Sie mit dem günstigen Zinssatz der Autobank wirklich am besten fahren, oder ob nicht ein Kredit von der Hausbank in Verbindung mit einem Rabatt beim Händler doch günstiger ist.</t>
  </si>
  <si>
    <t>./. Anzahlung (in % vom Listenpreis oder EUR)</t>
  </si>
  <si>
    <t xml:space="preserve">    Sonderkredit für Anzahlung (in % vom Listenpreis)</t>
  </si>
  <si>
    <t>Daten des Kredits</t>
  </si>
  <si>
    <t>Aus Effektivzins berechnete Monatsrate</t>
  </si>
  <si>
    <t xml:space="preserve">  evtl.: abweichende Monatsrate </t>
  </si>
  <si>
    <r>
      <t xml:space="preserve">  evtl.: Hohe </t>
    </r>
    <r>
      <rPr>
        <b/>
        <sz val="9"/>
        <rFont val="Verdana"/>
        <family val="2"/>
      </rPr>
      <t>Schlussrate</t>
    </r>
    <r>
      <rPr>
        <sz val="9"/>
        <rFont val="Verdana"/>
        <family val="2"/>
      </rPr>
      <t xml:space="preserve"> (z. B. bei 3-Wege-Finanz.)</t>
    </r>
  </si>
  <si>
    <t xml:space="preserve">              Schlussrate inkl. letzter Monatsrate (Ja=x)   </t>
  </si>
  <si>
    <r>
      <t xml:space="preserve">oder Berechnung für Ihre konkreten Verhältnisse </t>
    </r>
    <r>
      <rPr>
        <sz val="9"/>
        <rFont val="Verdana"/>
        <family val="2"/>
      </rPr>
      <t>(direkter Vergleich zum Leasing nicht möglich)</t>
    </r>
  </si>
  <si>
    <t>Ihr effektiver Jahreszins</t>
  </si>
  <si>
    <t xml:space="preserve">Ihr Spar- bzw. Anlagezins </t>
  </si>
  <si>
    <t>Rate für Barwert</t>
  </si>
  <si>
    <t>© STIFTUNG WARENTEST 2003</t>
  </si>
  <si>
    <r>
      <t>Vergleich zum Leasing</t>
    </r>
    <r>
      <rPr>
        <sz val="9"/>
        <rFont val="Verdana"/>
        <family val="2"/>
      </rPr>
      <t xml:space="preserve"> mit festem Mischzins von 5%</t>
    </r>
  </si>
  <si>
    <t xml:space="preserve">  (7,5% Kreditzins, 2,5% Guthabenzins) / (Ja=x)</t>
  </si>
  <si>
    <t>x</t>
  </si>
  <si>
    <t xml:space="preserve"> STIFTUNG WARENTEST 2006</t>
  </si>
  <si>
    <t>Der Gegenwartswert berücksichtigt die Termine aller fälligen Zahlungen und bereinigt sie um Zinseffekte. Für Sie ist die Finanzierungsvariante die günstigste, die den niedrigsten Gegenwartswert aufweist. Dabei arbeitet der Rechner bei Vergleich mit dem Leasing mit einem Mischzins von 5 Prozent. Es besteht die Annahme, dass ein Guthaben mit 2,5 Prozent verzinst wird. Das ist ein Satz, den Sie für Termingeld etwa bekommen würden. Als typischer Sollzins werden 7,5 Prozent berücksichtigt. Das entspricht in etwa dem Durchschnitt der Sätze für Kontokorrentkredite und kurzfristige Darlehen. Der Rechner funktioniert nur mit realistischen Werten. Wenn keine Ergebnisse angezeigt werden, überprüfen Sie bitte Ihre Eingaben.</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</si>
</sst>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
    <numFmt numFmtId="173" formatCode="#\ ##0"/>
    <numFmt numFmtId="174" formatCode="#\ ##0.00"/>
    <numFmt numFmtId="175" formatCode="0.0"/>
    <numFmt numFmtId="176" formatCode="#,##0.0"/>
    <numFmt numFmtId="177" formatCode="0.000"/>
    <numFmt numFmtId="178" formatCode="#,##0.000000"/>
    <numFmt numFmtId="179" formatCode="0.00000000"/>
    <numFmt numFmtId="180" formatCode="0.000000"/>
    <numFmt numFmtId="181" formatCode="0.00000"/>
    <numFmt numFmtId="182" formatCode="0.0%"/>
    <numFmt numFmtId="183" formatCode="#,##0.0000"/>
    <numFmt numFmtId="184" formatCode="#,##0.000"/>
    <numFmt numFmtId="185" formatCode="#,##0.00\ &quot;DM&quot;"/>
  </numFmts>
  <fonts count="24">
    <font>
      <sz val="10"/>
      <name val="MS Sans Serif"/>
      <family val="0"/>
    </font>
    <font>
      <b/>
      <sz val="10"/>
      <name val="MS Sans Serif"/>
      <family val="0"/>
    </font>
    <font>
      <i/>
      <sz val="10"/>
      <name val="MS Sans Serif"/>
      <family val="0"/>
    </font>
    <font>
      <b/>
      <i/>
      <sz val="10"/>
      <name val="MS Sans Serif"/>
      <family val="0"/>
    </font>
    <font>
      <b/>
      <sz val="10"/>
      <name val="Arial"/>
      <family val="2"/>
    </font>
    <font>
      <sz val="10"/>
      <name val="Arial"/>
      <family val="2"/>
    </font>
    <font>
      <sz val="8"/>
      <name val="Arial"/>
      <family val="2"/>
    </font>
    <font>
      <b/>
      <sz val="12"/>
      <name val="Arial"/>
      <family val="2"/>
    </font>
    <font>
      <vertAlign val="subscript"/>
      <sz val="8"/>
      <name val="Arial"/>
      <family val="2"/>
    </font>
    <font>
      <sz val="9"/>
      <name val="Verdana"/>
      <family val="2"/>
    </font>
    <font>
      <b/>
      <sz val="9"/>
      <name val="Verdana"/>
      <family val="2"/>
    </font>
    <font>
      <b/>
      <sz val="9"/>
      <color indexed="10"/>
      <name val="Verdana"/>
      <family val="2"/>
    </font>
    <font>
      <sz val="9"/>
      <color indexed="10"/>
      <name val="Verdana"/>
      <family val="2"/>
    </font>
    <font>
      <u val="single"/>
      <sz val="9"/>
      <name val="Verdana"/>
      <family val="2"/>
    </font>
    <font>
      <sz val="9"/>
      <color indexed="60"/>
      <name val="Verdana"/>
      <family val="2"/>
    </font>
    <font>
      <b/>
      <u val="single"/>
      <sz val="9"/>
      <name val="Verdana"/>
      <family val="2"/>
    </font>
    <font>
      <b/>
      <sz val="9"/>
      <color indexed="52"/>
      <name val="Verdana"/>
      <family val="2"/>
    </font>
    <font>
      <u val="single"/>
      <sz val="10"/>
      <color indexed="12"/>
      <name val="MS Sans Serif"/>
      <family val="0"/>
    </font>
    <font>
      <sz val="10"/>
      <color indexed="60"/>
      <name val="Verdana"/>
      <family val="2"/>
    </font>
    <font>
      <b/>
      <sz val="10"/>
      <color indexed="8"/>
      <name val="Arial"/>
      <family val="2"/>
    </font>
    <font>
      <b/>
      <sz val="10"/>
      <color indexed="10"/>
      <name val="Arial"/>
      <family val="0"/>
    </font>
    <font>
      <sz val="10"/>
      <color indexed="12"/>
      <name val="Arial"/>
      <family val="2"/>
    </font>
    <font>
      <sz val="8"/>
      <name val="MS Sans Serif"/>
      <family val="0"/>
    </font>
    <font>
      <sz val="14"/>
      <color indexed="60"/>
      <name val="Verdana"/>
      <family val="2"/>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lightDown">
        <fgColor indexed="22"/>
        <bgColor indexed="10"/>
      </patternFill>
    </fill>
    <fill>
      <patternFill patternType="solid">
        <fgColor indexed="50"/>
        <bgColor indexed="64"/>
      </patternFill>
    </fill>
    <fill>
      <patternFill patternType="solid">
        <fgColor indexed="60"/>
        <bgColor indexed="64"/>
      </patternFill>
    </fill>
    <fill>
      <patternFill patternType="lightDown">
        <bgColor indexed="60"/>
      </patternFill>
    </fill>
    <fill>
      <patternFill patternType="solid">
        <fgColor indexed="23"/>
        <bgColor indexed="64"/>
      </patternFill>
    </fill>
    <fill>
      <patternFill patternType="solid">
        <fgColor indexed="43"/>
        <bgColor indexed="64"/>
      </patternFill>
    </fill>
    <fill>
      <patternFill patternType="solid">
        <fgColor indexed="46"/>
        <bgColor indexed="64"/>
      </patternFill>
    </fill>
    <fill>
      <patternFill patternType="lightDown">
        <fgColor indexed="22"/>
        <bgColor indexed="43"/>
      </patternFill>
    </fill>
    <fill>
      <patternFill patternType="solid">
        <fgColor indexed="10"/>
        <bgColor indexed="64"/>
      </patternFill>
    </fill>
  </fills>
  <borders count="22">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color indexed="52"/>
      </right>
      <top style="thin"/>
      <bottom style="thin"/>
    </border>
    <border>
      <left style="thin"/>
      <right style="thin">
        <color indexed="52"/>
      </right>
      <top style="thin"/>
      <bottom style="thin">
        <color indexed="5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color indexed="10"/>
      </bottom>
    </border>
    <border>
      <left style="thin"/>
      <right style="thin"/>
      <top>
        <color indexed="63"/>
      </top>
      <bottom style="thin"/>
    </border>
    <border>
      <left style="thin"/>
      <right style="thin">
        <color indexed="10"/>
      </right>
      <top style="thin"/>
      <bottom style="thin">
        <color indexed="52"/>
      </bottom>
    </border>
    <border>
      <left style="thin"/>
      <right style="thin">
        <color indexed="50"/>
      </right>
      <top>
        <color indexed="63"/>
      </top>
      <bottom style="thin">
        <color indexed="10"/>
      </bottom>
    </border>
    <border>
      <left style="thin"/>
      <right style="thin">
        <color indexed="10"/>
      </right>
      <top style="thin">
        <color indexed="10"/>
      </top>
      <bottom style="thin">
        <color indexed="10"/>
      </bottom>
    </border>
    <border>
      <left style="thin"/>
      <right style="thin"/>
      <top style="thin">
        <color indexed="52"/>
      </top>
      <bottom style="thin"/>
    </border>
    <border>
      <left>
        <color indexed="63"/>
      </left>
      <right style="thin">
        <color indexed="52"/>
      </right>
      <top>
        <color indexed="63"/>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312">
    <xf numFmtId="0" fontId="0" fillId="0" borderId="0" xfId="0" applyAlignment="1">
      <alignment/>
    </xf>
    <xf numFmtId="0" fontId="7" fillId="0" borderId="0" xfId="0" applyFont="1" applyAlignment="1">
      <alignment horizontal="left"/>
    </xf>
    <xf numFmtId="4" fontId="5" fillId="0" borderId="0" xfId="0" applyNumberFormat="1" applyFont="1" applyAlignment="1">
      <alignment horizontal="center"/>
    </xf>
    <xf numFmtId="2" fontId="5" fillId="0" borderId="0" xfId="0" applyNumberFormat="1" applyFont="1" applyAlignment="1">
      <alignment horizontal="center"/>
    </xf>
    <xf numFmtId="0" fontId="5" fillId="0" borderId="0" xfId="0" applyFont="1" applyAlignment="1">
      <alignment/>
    </xf>
    <xf numFmtId="0" fontId="6" fillId="0" borderId="0" xfId="0" applyFont="1" applyAlignment="1">
      <alignment horizontal="center"/>
    </xf>
    <xf numFmtId="4" fontId="6" fillId="0" borderId="0" xfId="0" applyNumberFormat="1" applyFont="1" applyAlignment="1">
      <alignment horizontal="center"/>
    </xf>
    <xf numFmtId="175" fontId="6" fillId="0" borderId="0" xfId="0" applyNumberFormat="1" applyFont="1" applyAlignment="1">
      <alignment horizontal="center"/>
    </xf>
    <xf numFmtId="172" fontId="6" fillId="0" borderId="0" xfId="0" applyNumberFormat="1" applyFont="1" applyAlignment="1" quotePrefix="1">
      <alignment horizontal="center"/>
    </xf>
    <xf numFmtId="175" fontId="5" fillId="0" borderId="0" xfId="0" applyNumberFormat="1" applyFont="1" applyAlignment="1">
      <alignment/>
    </xf>
    <xf numFmtId="0" fontId="5" fillId="0" borderId="0" xfId="0" applyFont="1" applyAlignment="1" applyProtection="1">
      <alignment horizontal="center"/>
      <protection locked="0"/>
    </xf>
    <xf numFmtId="4" fontId="5" fillId="0" borderId="0" xfId="0" applyNumberFormat="1" applyFont="1" applyAlignment="1" applyProtection="1">
      <alignment horizontal="center"/>
      <protection locked="0"/>
    </xf>
    <xf numFmtId="1" fontId="5" fillId="0" borderId="0" xfId="0" applyNumberFormat="1" applyFont="1" applyAlignment="1">
      <alignment horizontal="center"/>
    </xf>
    <xf numFmtId="4" fontId="5" fillId="0" borderId="0" xfId="0" applyNumberFormat="1" applyFont="1" applyAlignment="1">
      <alignment/>
    </xf>
    <xf numFmtId="0" fontId="5" fillId="0" borderId="0" xfId="0" applyFont="1" applyAlignment="1">
      <alignment horizontal="center"/>
    </xf>
    <xf numFmtId="1" fontId="6" fillId="0" borderId="0" xfId="0" applyNumberFormat="1" applyFont="1" applyAlignment="1">
      <alignment horizontal="center"/>
    </xf>
    <xf numFmtId="2" fontId="6" fillId="0" borderId="0" xfId="0" applyNumberFormat="1" applyFont="1" applyAlignment="1" quotePrefix="1">
      <alignment horizontal="center"/>
    </xf>
    <xf numFmtId="2" fontId="6" fillId="0" borderId="0" xfId="0" applyNumberFormat="1" applyFont="1" applyAlignment="1">
      <alignment horizontal="center"/>
    </xf>
    <xf numFmtId="1" fontId="4" fillId="0" borderId="0" xfId="0" applyNumberFormat="1" applyFont="1" applyAlignment="1">
      <alignment horizontal="left"/>
    </xf>
    <xf numFmtId="1" fontId="5" fillId="0" borderId="0" xfId="0" applyNumberFormat="1" applyFont="1" applyAlignment="1">
      <alignment/>
    </xf>
    <xf numFmtId="1" fontId="5" fillId="0" borderId="0" xfId="0" applyNumberFormat="1" applyFont="1" applyAlignment="1">
      <alignment horizontal="left"/>
    </xf>
    <xf numFmtId="175" fontId="5" fillId="0" borderId="0" xfId="0" applyNumberFormat="1" applyFont="1" applyAlignment="1">
      <alignment horizontal="center"/>
    </xf>
    <xf numFmtId="175" fontId="6" fillId="0" borderId="0" xfId="0" applyNumberFormat="1" applyFont="1" applyAlignment="1" quotePrefix="1">
      <alignment horizontal="center"/>
    </xf>
    <xf numFmtId="180" fontId="6" fillId="0" borderId="0" xfId="0" applyNumberFormat="1" applyFont="1" applyAlignment="1" quotePrefix="1">
      <alignment horizontal="center"/>
    </xf>
    <xf numFmtId="172" fontId="5" fillId="0" borderId="0" xfId="0" applyNumberFormat="1" applyFont="1" applyAlignment="1">
      <alignment horizontal="center"/>
    </xf>
    <xf numFmtId="172" fontId="6" fillId="0" borderId="0" xfId="0" applyNumberFormat="1" applyFont="1" applyAlignment="1">
      <alignment horizontal="center"/>
    </xf>
    <xf numFmtId="2" fontId="5" fillId="0" borderId="0" xfId="0" applyNumberFormat="1" applyFont="1" applyAlignment="1">
      <alignment horizontal="centerContinuous"/>
    </xf>
    <xf numFmtId="172" fontId="5" fillId="0" borderId="0" xfId="0" applyNumberFormat="1" applyFont="1" applyAlignment="1">
      <alignment horizontal="centerContinuous"/>
    </xf>
    <xf numFmtId="172" fontId="5" fillId="0" borderId="1" xfId="0" applyNumberFormat="1" applyFont="1" applyBorder="1" applyAlignment="1">
      <alignment horizontal="center"/>
    </xf>
    <xf numFmtId="172" fontId="5" fillId="0" borderId="1" xfId="0" applyNumberFormat="1" applyFont="1" applyBorder="1" applyAlignment="1">
      <alignment horizontal="centerContinuous"/>
    </xf>
    <xf numFmtId="172" fontId="6" fillId="0" borderId="1" xfId="0" applyNumberFormat="1" applyFont="1" applyBorder="1" applyAlignment="1">
      <alignment horizontal="center"/>
    </xf>
    <xf numFmtId="2" fontId="5" fillId="0" borderId="2" xfId="0" applyNumberFormat="1" applyFont="1" applyBorder="1" applyAlignment="1">
      <alignment horizontal="center"/>
    </xf>
    <xf numFmtId="2" fontId="5" fillId="0" borderId="2" xfId="0" applyNumberFormat="1" applyFont="1" applyBorder="1" applyAlignment="1">
      <alignment horizontal="centerContinuous"/>
    </xf>
    <xf numFmtId="2" fontId="6" fillId="0" borderId="2" xfId="0" applyNumberFormat="1" applyFont="1" applyBorder="1" applyAlignment="1">
      <alignment horizontal="center"/>
    </xf>
    <xf numFmtId="175" fontId="6" fillId="0" borderId="2" xfId="0" applyNumberFormat="1" applyFont="1" applyBorder="1" applyAlignment="1">
      <alignment horizontal="center"/>
    </xf>
    <xf numFmtId="1" fontId="5" fillId="0" borderId="0" xfId="0" applyNumberFormat="1" applyFont="1" applyBorder="1" applyAlignment="1">
      <alignment horizontal="left"/>
    </xf>
    <xf numFmtId="1" fontId="6" fillId="0" borderId="0" xfId="0" applyNumberFormat="1" applyFont="1" applyBorder="1" applyAlignment="1">
      <alignment horizontal="center"/>
    </xf>
    <xf numFmtId="1" fontId="5" fillId="0" borderId="0" xfId="0" applyNumberFormat="1" applyFont="1" applyBorder="1" applyAlignment="1">
      <alignment horizontal="center"/>
    </xf>
    <xf numFmtId="1" fontId="5" fillId="0" borderId="0" xfId="0" applyNumberFormat="1" applyFont="1" applyBorder="1" applyAlignment="1">
      <alignment/>
    </xf>
    <xf numFmtId="3" fontId="5" fillId="0" borderId="0" xfId="0" applyNumberFormat="1" applyFont="1" applyAlignment="1">
      <alignment horizontal="center"/>
    </xf>
    <xf numFmtId="3" fontId="6" fillId="0" borderId="0" xfId="0" applyNumberFormat="1" applyFont="1" applyAlignment="1">
      <alignment horizontal="center"/>
    </xf>
    <xf numFmtId="177" fontId="5" fillId="0" borderId="0" xfId="0" applyNumberFormat="1" applyFont="1" applyAlignment="1">
      <alignment horizontal="center"/>
    </xf>
    <xf numFmtId="177" fontId="6" fillId="0" borderId="0" xfId="0" applyNumberFormat="1" applyFont="1" applyAlignment="1" quotePrefix="1">
      <alignment horizontal="center"/>
    </xf>
    <xf numFmtId="177" fontId="6" fillId="0" borderId="0" xfId="0" applyNumberFormat="1" applyFont="1" applyAlignment="1">
      <alignment horizontal="center"/>
    </xf>
    <xf numFmtId="181" fontId="6" fillId="0" borderId="0" xfId="0" applyNumberFormat="1" applyFont="1" applyAlignment="1" quotePrefix="1">
      <alignment horizontal="center"/>
    </xf>
    <xf numFmtId="181" fontId="5" fillId="0" borderId="0" xfId="0" applyNumberFormat="1" applyFont="1" applyAlignment="1">
      <alignment horizontal="center"/>
    </xf>
    <xf numFmtId="181" fontId="6" fillId="0" borderId="0" xfId="0" applyNumberFormat="1" applyFont="1" applyAlignment="1">
      <alignment horizontal="center"/>
    </xf>
    <xf numFmtId="181" fontId="5" fillId="0" borderId="0" xfId="0" applyNumberFormat="1" applyFont="1" applyAlignment="1">
      <alignment horizontal="centerContinuous"/>
    </xf>
    <xf numFmtId="177" fontId="5" fillId="0" borderId="0" xfId="0" applyNumberFormat="1" applyFont="1" applyAlignment="1">
      <alignment horizontal="centerContinuous"/>
    </xf>
    <xf numFmtId="184" fontId="5" fillId="0" borderId="0" xfId="0" applyNumberFormat="1" applyFont="1" applyAlignment="1">
      <alignment horizontal="center"/>
    </xf>
    <xf numFmtId="184" fontId="6" fillId="0" borderId="0" xfId="0" applyNumberFormat="1" applyFont="1" applyAlignment="1">
      <alignment horizontal="center"/>
    </xf>
    <xf numFmtId="180" fontId="5" fillId="0" borderId="0" xfId="0" applyNumberFormat="1" applyFont="1" applyAlignment="1">
      <alignment horizontal="center"/>
    </xf>
    <xf numFmtId="180" fontId="5" fillId="0" borderId="1" xfId="0" applyNumberFormat="1" applyFont="1" applyBorder="1" applyAlignment="1">
      <alignment horizontal="center"/>
    </xf>
    <xf numFmtId="180" fontId="5" fillId="0" borderId="0" xfId="0" applyNumberFormat="1" applyFont="1" applyAlignment="1">
      <alignment horizontal="centerContinuous"/>
    </xf>
    <xf numFmtId="180" fontId="5" fillId="0" borderId="1" xfId="0" applyNumberFormat="1" applyFont="1" applyBorder="1" applyAlignment="1">
      <alignment horizontal="centerContinuous"/>
    </xf>
    <xf numFmtId="180" fontId="6" fillId="0" borderId="0" xfId="0" applyNumberFormat="1" applyFont="1" applyAlignment="1">
      <alignment horizontal="center"/>
    </xf>
    <xf numFmtId="180" fontId="6" fillId="0" borderId="1" xfId="0" applyNumberFormat="1" applyFont="1" applyBorder="1" applyAlignment="1">
      <alignment horizontal="center"/>
    </xf>
    <xf numFmtId="179" fontId="6" fillId="0" borderId="0" xfId="0" applyNumberFormat="1" applyFont="1" applyAlignment="1" quotePrefix="1">
      <alignment horizontal="center"/>
    </xf>
    <xf numFmtId="0" fontId="9" fillId="2" borderId="0" xfId="0" applyFont="1" applyFill="1" applyBorder="1" applyAlignment="1" applyProtection="1">
      <alignment horizontal="left" vertical="top" indent="1"/>
      <protection/>
    </xf>
    <xf numFmtId="0" fontId="9" fillId="2" borderId="0" xfId="0" applyFont="1" applyFill="1" applyBorder="1" applyAlignment="1">
      <alignment horizontal="left" vertical="top"/>
    </xf>
    <xf numFmtId="172" fontId="9" fillId="3" borderId="0" xfId="0" applyNumberFormat="1" applyFont="1" applyFill="1" applyBorder="1" applyAlignment="1" applyProtection="1">
      <alignment horizontal="left" vertical="top"/>
      <protection/>
    </xf>
    <xf numFmtId="172" fontId="9" fillId="2" borderId="0" xfId="0" applyNumberFormat="1" applyFont="1" applyFill="1" applyBorder="1" applyAlignment="1" applyProtection="1">
      <alignment horizontal="left" vertical="top"/>
      <protection/>
    </xf>
    <xf numFmtId="172" fontId="9" fillId="2" borderId="3" xfId="0" applyNumberFormat="1" applyFont="1" applyFill="1" applyBorder="1" applyAlignment="1" applyProtection="1">
      <alignment horizontal="left" vertical="top"/>
      <protection/>
    </xf>
    <xf numFmtId="4" fontId="9" fillId="4" borderId="4" xfId="0" applyNumberFormat="1" applyFont="1" applyFill="1" applyBorder="1" applyAlignment="1" applyProtection="1">
      <alignment horizontal="right" vertical="top"/>
      <protection hidden="1" locked="0"/>
    </xf>
    <xf numFmtId="4" fontId="9" fillId="5" borderId="4" xfId="0" applyNumberFormat="1" applyFont="1" applyFill="1" applyBorder="1" applyAlignment="1" applyProtection="1">
      <alignment horizontal="right" vertical="top"/>
      <protection hidden="1" locked="0"/>
    </xf>
    <xf numFmtId="4" fontId="9" fillId="5" borderId="4" xfId="0" applyNumberFormat="1" applyFont="1" applyFill="1" applyBorder="1" applyAlignment="1" applyProtection="1">
      <alignment horizontal="center" vertical="top"/>
      <protection hidden="1" locked="0"/>
    </xf>
    <xf numFmtId="4" fontId="9" fillId="4" borderId="5" xfId="0" applyNumberFormat="1" applyFont="1" applyFill="1" applyBorder="1" applyAlignment="1" applyProtection="1">
      <alignment horizontal="right" vertical="top"/>
      <protection hidden="1" locked="0"/>
    </xf>
    <xf numFmtId="4" fontId="9" fillId="5" borderId="6" xfId="0" applyNumberFormat="1" applyFont="1" applyFill="1" applyBorder="1" applyAlignment="1" applyProtection="1">
      <alignment horizontal="right" vertical="top"/>
      <protection hidden="1" locked="0"/>
    </xf>
    <xf numFmtId="0" fontId="9" fillId="3" borderId="0" xfId="0" applyFont="1" applyFill="1" applyBorder="1" applyAlignment="1">
      <alignment horizontal="left" vertical="top"/>
    </xf>
    <xf numFmtId="0" fontId="9" fillId="2" borderId="0" xfId="0" applyFont="1" applyFill="1" applyBorder="1" applyAlignment="1" applyProtection="1">
      <alignment horizontal="left" vertical="top"/>
      <protection/>
    </xf>
    <xf numFmtId="0" fontId="9" fillId="0" borderId="7" xfId="0" applyFont="1" applyBorder="1" applyAlignment="1">
      <alignment vertical="top"/>
    </xf>
    <xf numFmtId="0" fontId="9" fillId="0" borderId="8" xfId="0" applyFont="1" applyBorder="1" applyAlignment="1">
      <alignment vertical="top"/>
    </xf>
    <xf numFmtId="0" fontId="9" fillId="0" borderId="9" xfId="0" applyFont="1" applyBorder="1" applyAlignment="1">
      <alignment vertical="top"/>
    </xf>
    <xf numFmtId="0" fontId="9" fillId="0" borderId="0" xfId="0" applyFont="1" applyAlignment="1">
      <alignment vertical="top"/>
    </xf>
    <xf numFmtId="0" fontId="9" fillId="0" borderId="2" xfId="0" applyFont="1" applyBorder="1" applyAlignment="1">
      <alignment vertical="top"/>
    </xf>
    <xf numFmtId="0" fontId="9" fillId="0" borderId="0" xfId="0" applyFont="1" applyBorder="1" applyAlignment="1">
      <alignment vertical="top"/>
    </xf>
    <xf numFmtId="0" fontId="9" fillId="0" borderId="1" xfId="0" applyFont="1" applyBorder="1" applyAlignment="1">
      <alignment vertical="top"/>
    </xf>
    <xf numFmtId="0" fontId="9" fillId="3" borderId="2" xfId="0" applyFont="1" applyFill="1" applyBorder="1" applyAlignment="1" applyProtection="1">
      <alignment vertical="top"/>
      <protection/>
    </xf>
    <xf numFmtId="0" fontId="10" fillId="3" borderId="0" xfId="0" applyFont="1" applyFill="1" applyBorder="1" applyAlignment="1" applyProtection="1">
      <alignment vertical="top"/>
      <protection/>
    </xf>
    <xf numFmtId="0" fontId="9" fillId="3" borderId="0" xfId="0" applyFont="1" applyFill="1" applyBorder="1" applyAlignment="1">
      <alignment vertical="top"/>
    </xf>
    <xf numFmtId="0" fontId="9" fillId="3" borderId="0" xfId="0" applyFont="1" applyFill="1" applyBorder="1" applyAlignment="1" applyProtection="1">
      <alignment vertical="top"/>
      <protection/>
    </xf>
    <xf numFmtId="0" fontId="9" fillId="3" borderId="1" xfId="0" applyFont="1" applyFill="1" applyBorder="1" applyAlignment="1" applyProtection="1">
      <alignment vertical="top"/>
      <protection/>
    </xf>
    <xf numFmtId="0" fontId="9" fillId="3" borderId="0" xfId="0" applyFont="1" applyFill="1" applyAlignment="1" applyProtection="1">
      <alignment vertical="top"/>
      <protection/>
    </xf>
    <xf numFmtId="172" fontId="9" fillId="3" borderId="8" xfId="0" applyNumberFormat="1" applyFont="1" applyFill="1" applyBorder="1" applyAlignment="1" applyProtection="1">
      <alignment horizontal="left" vertical="top" indent="1"/>
      <protection hidden="1"/>
    </xf>
    <xf numFmtId="172" fontId="9" fillId="3" borderId="8" xfId="0" applyNumberFormat="1" applyFont="1" applyFill="1" applyBorder="1" applyAlignment="1" applyProtection="1">
      <alignment horizontal="left" vertical="top"/>
      <protection hidden="1"/>
    </xf>
    <xf numFmtId="0" fontId="9" fillId="3" borderId="0" xfId="0" applyFont="1" applyFill="1" applyBorder="1" applyAlignment="1">
      <alignment vertical="top" wrapText="1"/>
    </xf>
    <xf numFmtId="0" fontId="9" fillId="3" borderId="10" xfId="0" applyFont="1" applyFill="1" applyBorder="1" applyAlignment="1" applyProtection="1">
      <alignment vertical="top"/>
      <protection/>
    </xf>
    <xf numFmtId="0" fontId="9" fillId="3" borderId="3" xfId="0" applyFont="1" applyFill="1" applyBorder="1" applyAlignment="1" applyProtection="1">
      <alignment vertical="top"/>
      <protection/>
    </xf>
    <xf numFmtId="0" fontId="9" fillId="0" borderId="3" xfId="0" applyFont="1" applyBorder="1" applyAlignment="1" applyProtection="1">
      <alignment vertical="top"/>
      <protection/>
    </xf>
    <xf numFmtId="0" fontId="9" fillId="3" borderId="11" xfId="0" applyFont="1" applyFill="1" applyBorder="1" applyAlignment="1" applyProtection="1">
      <alignment vertical="top"/>
      <protection/>
    </xf>
    <xf numFmtId="0" fontId="9" fillId="2" borderId="7" xfId="0" applyFont="1" applyFill="1" applyBorder="1" applyAlignment="1" applyProtection="1">
      <alignment vertical="top"/>
      <protection/>
    </xf>
    <xf numFmtId="0" fontId="9" fillId="2" borderId="8" xfId="0" applyFont="1" applyFill="1" applyBorder="1" applyAlignment="1" applyProtection="1">
      <alignment vertical="top"/>
      <protection/>
    </xf>
    <xf numFmtId="0" fontId="9" fillId="2" borderId="9" xfId="0" applyFont="1" applyFill="1" applyBorder="1" applyAlignment="1" applyProtection="1">
      <alignment vertical="top"/>
      <protection/>
    </xf>
    <xf numFmtId="0" fontId="9" fillId="2" borderId="2" xfId="0" applyFont="1" applyFill="1" applyBorder="1" applyAlignment="1" applyProtection="1">
      <alignment vertical="top"/>
      <protection/>
    </xf>
    <xf numFmtId="0" fontId="9" fillId="2" borderId="0" xfId="0" applyFont="1" applyFill="1" applyBorder="1" applyAlignment="1" applyProtection="1">
      <alignment vertical="top"/>
      <protection/>
    </xf>
    <xf numFmtId="0" fontId="9" fillId="6" borderId="4" xfId="0" applyFont="1" applyFill="1" applyBorder="1" applyAlignment="1" applyProtection="1">
      <alignment horizontal="right" vertical="top"/>
      <protection locked="0"/>
    </xf>
    <xf numFmtId="0" fontId="9" fillId="2" borderId="1" xfId="0" applyFont="1" applyFill="1" applyBorder="1" applyAlignment="1" applyProtection="1">
      <alignment vertical="top"/>
      <protection/>
    </xf>
    <xf numFmtId="10" fontId="9" fillId="6" borderId="4" xfId="0" applyNumberFormat="1" applyFont="1" applyFill="1" applyBorder="1" applyAlignment="1" applyProtection="1">
      <alignment horizontal="right" vertical="top"/>
      <protection locked="0"/>
    </xf>
    <xf numFmtId="0" fontId="9" fillId="2" borderId="0" xfId="0" applyFont="1" applyFill="1" applyBorder="1" applyAlignment="1" applyProtection="1">
      <alignment horizontal="center" vertical="top"/>
      <protection/>
    </xf>
    <xf numFmtId="172" fontId="9" fillId="2" borderId="0" xfId="0" applyNumberFormat="1" applyFont="1" applyFill="1" applyBorder="1" applyAlignment="1" applyProtection="1">
      <alignment horizontal="center" vertical="top"/>
      <protection/>
    </xf>
    <xf numFmtId="0" fontId="9" fillId="2" borderId="10" xfId="0" applyFont="1" applyFill="1" applyBorder="1" applyAlignment="1" applyProtection="1">
      <alignment vertical="top"/>
      <protection/>
    </xf>
    <xf numFmtId="0" fontId="9" fillId="2" borderId="3" xfId="0" applyFont="1" applyFill="1" applyBorder="1" applyAlignment="1" applyProtection="1">
      <alignment horizontal="center" vertical="top"/>
      <protection/>
    </xf>
    <xf numFmtId="172" fontId="9" fillId="2" borderId="3" xfId="0" applyNumberFormat="1" applyFont="1" applyFill="1" applyBorder="1" applyAlignment="1" applyProtection="1">
      <alignment horizontal="center" vertical="top"/>
      <protection/>
    </xf>
    <xf numFmtId="0" fontId="9" fillId="2" borderId="3" xfId="0" applyFont="1" applyFill="1" applyBorder="1" applyAlignment="1" applyProtection="1">
      <alignment vertical="top"/>
      <protection/>
    </xf>
    <xf numFmtId="0" fontId="9" fillId="2" borderId="11" xfId="0" applyFont="1" applyFill="1" applyBorder="1" applyAlignment="1" applyProtection="1">
      <alignment vertical="top"/>
      <protection/>
    </xf>
    <xf numFmtId="0" fontId="9" fillId="3" borderId="0" xfId="0" applyFont="1" applyFill="1" applyBorder="1" applyAlignment="1" applyProtection="1">
      <alignment horizontal="center" vertical="top"/>
      <protection/>
    </xf>
    <xf numFmtId="172" fontId="9" fillId="3" borderId="0" xfId="0" applyNumberFormat="1" applyFont="1" applyFill="1" applyBorder="1" applyAlignment="1" applyProtection="1">
      <alignment horizontal="center" vertical="top"/>
      <protection/>
    </xf>
    <xf numFmtId="0" fontId="9" fillId="3" borderId="7" xfId="0" applyFont="1" applyFill="1" applyBorder="1" applyAlignment="1" applyProtection="1">
      <alignment horizontal="left" vertical="top"/>
      <protection hidden="1"/>
    </xf>
    <xf numFmtId="0" fontId="9" fillId="3" borderId="8" xfId="0" applyFont="1" applyFill="1" applyBorder="1" applyAlignment="1" applyProtection="1">
      <alignment horizontal="left" vertical="top"/>
      <protection hidden="1"/>
    </xf>
    <xf numFmtId="4" fontId="9" fillId="3" borderId="8" xfId="0" applyNumberFormat="1" applyFont="1" applyFill="1" applyBorder="1" applyAlignment="1" applyProtection="1">
      <alignment horizontal="right" vertical="top"/>
      <protection hidden="1"/>
    </xf>
    <xf numFmtId="0" fontId="9" fillId="0" borderId="9" xfId="0" applyFont="1" applyBorder="1" applyAlignment="1" applyProtection="1">
      <alignment horizontal="left" vertical="top"/>
      <protection hidden="1"/>
    </xf>
    <xf numFmtId="0" fontId="9" fillId="0" borderId="0" xfId="0" applyFont="1" applyAlignment="1" applyProtection="1">
      <alignment horizontal="left" vertical="top"/>
      <protection hidden="1"/>
    </xf>
    <xf numFmtId="0" fontId="9" fillId="3" borderId="2" xfId="0" applyFont="1" applyFill="1" applyBorder="1" applyAlignment="1" applyProtection="1">
      <alignment horizontal="left" vertical="top"/>
      <protection hidden="1"/>
    </xf>
    <xf numFmtId="0" fontId="9" fillId="3" borderId="0" xfId="0" applyFont="1" applyFill="1" applyBorder="1" applyAlignment="1" applyProtection="1">
      <alignment horizontal="left" vertical="top"/>
      <protection hidden="1"/>
    </xf>
    <xf numFmtId="4" fontId="9" fillId="3" borderId="0" xfId="0" applyNumberFormat="1" applyFont="1" applyFill="1" applyBorder="1" applyAlignment="1" applyProtection="1">
      <alignment horizontal="right" vertical="top"/>
      <protection hidden="1"/>
    </xf>
    <xf numFmtId="172" fontId="9" fillId="3" borderId="0" xfId="0" applyNumberFormat="1" applyFont="1" applyFill="1" applyBorder="1" applyAlignment="1" applyProtection="1">
      <alignment horizontal="left" vertical="top" indent="1"/>
      <protection hidden="1"/>
    </xf>
    <xf numFmtId="172" fontId="9" fillId="3" borderId="0" xfId="0" applyNumberFormat="1" applyFont="1" applyFill="1" applyBorder="1" applyAlignment="1" applyProtection="1">
      <alignment horizontal="left" vertical="top"/>
      <protection hidden="1"/>
    </xf>
    <xf numFmtId="0" fontId="9" fillId="0" borderId="1" xfId="0" applyFont="1" applyBorder="1" applyAlignment="1" applyProtection="1">
      <alignment horizontal="left" vertical="top"/>
      <protection hidden="1"/>
    </xf>
    <xf numFmtId="0" fontId="10" fillId="3" borderId="0" xfId="0" applyFont="1" applyFill="1" applyBorder="1" applyAlignment="1" applyProtection="1">
      <alignment horizontal="left" vertical="top"/>
      <protection hidden="1"/>
    </xf>
    <xf numFmtId="0" fontId="9" fillId="3" borderId="0" xfId="0" applyFont="1" applyFill="1" applyBorder="1" applyAlignment="1" applyProtection="1">
      <alignment horizontal="left" vertical="top" indent="1"/>
      <protection hidden="1"/>
    </xf>
    <xf numFmtId="0" fontId="9" fillId="3" borderId="2" xfId="0" applyFont="1" applyFill="1" applyBorder="1" applyAlignment="1" applyProtection="1">
      <alignment horizontal="left" vertical="top" wrapText="1"/>
      <protection hidden="1"/>
    </xf>
    <xf numFmtId="4" fontId="9" fillId="0" borderId="0" xfId="0" applyNumberFormat="1" applyFont="1" applyBorder="1" applyAlignment="1" applyProtection="1">
      <alignment horizontal="left" vertical="top" wrapText="1"/>
      <protection hidden="1"/>
    </xf>
    <xf numFmtId="0" fontId="9" fillId="3" borderId="0" xfId="0" applyFont="1" applyFill="1" applyBorder="1" applyAlignment="1" applyProtection="1">
      <alignment horizontal="left" vertical="top" wrapText="1"/>
      <protection hidden="1"/>
    </xf>
    <xf numFmtId="0" fontId="9" fillId="0" borderId="0" xfId="0" applyFont="1" applyBorder="1" applyAlignment="1" applyProtection="1">
      <alignment horizontal="left" vertical="top" wrapText="1"/>
      <protection hidden="1"/>
    </xf>
    <xf numFmtId="4" fontId="9" fillId="0" borderId="0" xfId="0" applyNumberFormat="1" applyFont="1" applyBorder="1" applyAlignment="1" applyProtection="1">
      <alignment horizontal="right" vertical="top" wrapText="1"/>
      <protection hidden="1"/>
    </xf>
    <xf numFmtId="0" fontId="9" fillId="0" borderId="0" xfId="0" applyFont="1" applyBorder="1" applyAlignment="1" applyProtection="1">
      <alignment horizontal="left" vertical="top" wrapText="1" indent="1"/>
      <protection hidden="1"/>
    </xf>
    <xf numFmtId="0" fontId="9" fillId="3" borderId="10" xfId="0" applyFont="1" applyFill="1" applyBorder="1" applyAlignment="1" applyProtection="1">
      <alignment horizontal="left" vertical="top"/>
      <protection hidden="1"/>
    </xf>
    <xf numFmtId="0" fontId="9" fillId="3" borderId="3" xfId="0" applyFont="1" applyFill="1" applyBorder="1" applyAlignment="1" applyProtection="1">
      <alignment horizontal="left" vertical="top"/>
      <protection hidden="1"/>
    </xf>
    <xf numFmtId="4" fontId="9" fillId="0" borderId="3" xfId="0" applyNumberFormat="1" applyFont="1" applyFill="1" applyBorder="1" applyAlignment="1" applyProtection="1">
      <alignment horizontal="right" vertical="top"/>
      <protection hidden="1"/>
    </xf>
    <xf numFmtId="0" fontId="9" fillId="3" borderId="3" xfId="0" applyFont="1" applyFill="1" applyBorder="1" applyAlignment="1" applyProtection="1">
      <alignment horizontal="left" vertical="top" indent="1"/>
      <protection hidden="1"/>
    </xf>
    <xf numFmtId="4" fontId="9" fillId="3" borderId="3" xfId="0" applyNumberFormat="1" applyFont="1" applyFill="1" applyBorder="1" applyAlignment="1" applyProtection="1">
      <alignment horizontal="right" vertical="top"/>
      <protection hidden="1"/>
    </xf>
    <xf numFmtId="0" fontId="9" fillId="0" borderId="11" xfId="0" applyFont="1" applyBorder="1" applyAlignment="1" applyProtection="1">
      <alignment horizontal="left" vertical="top"/>
      <protection hidden="1"/>
    </xf>
    <xf numFmtId="0" fontId="9" fillId="7" borderId="12" xfId="0" applyFont="1" applyFill="1" applyBorder="1" applyAlignment="1" applyProtection="1">
      <alignment horizontal="left" vertical="top"/>
      <protection hidden="1"/>
    </xf>
    <xf numFmtId="0" fontId="11" fillId="7" borderId="13" xfId="0" applyFont="1" applyFill="1" applyBorder="1" applyAlignment="1" applyProtection="1">
      <alignment horizontal="left" vertical="top"/>
      <protection hidden="1"/>
    </xf>
    <xf numFmtId="172" fontId="11" fillId="7" borderId="12" xfId="0" applyNumberFormat="1" applyFont="1" applyFill="1" applyBorder="1" applyAlignment="1" applyProtection="1">
      <alignment horizontal="left" vertical="top" indent="1"/>
      <protection hidden="1"/>
    </xf>
    <xf numFmtId="172" fontId="9" fillId="7" borderId="14" xfId="0" applyNumberFormat="1" applyFont="1" applyFill="1" applyBorder="1" applyAlignment="1" applyProtection="1">
      <alignment horizontal="left" vertical="top"/>
      <protection hidden="1"/>
    </xf>
    <xf numFmtId="4" fontId="9" fillId="7" borderId="14" xfId="0" applyNumberFormat="1" applyFont="1" applyFill="1" applyBorder="1" applyAlignment="1" applyProtection="1">
      <alignment horizontal="right" vertical="top"/>
      <protection hidden="1"/>
    </xf>
    <xf numFmtId="172" fontId="9" fillId="7" borderId="14" xfId="0" applyNumberFormat="1" applyFont="1" applyFill="1" applyBorder="1" applyAlignment="1" applyProtection="1">
      <alignment horizontal="left" vertical="top" indent="1"/>
      <protection hidden="1"/>
    </xf>
    <xf numFmtId="0" fontId="9" fillId="7" borderId="13" xfId="0" applyFont="1" applyFill="1" applyBorder="1" applyAlignment="1" applyProtection="1">
      <alignment horizontal="left" vertical="top"/>
      <protection hidden="1"/>
    </xf>
    <xf numFmtId="4" fontId="9" fillId="0" borderId="0" xfId="0" applyNumberFormat="1" applyFont="1" applyFill="1" applyBorder="1" applyAlignment="1" applyProtection="1">
      <alignment horizontal="right" vertical="top"/>
      <protection hidden="1"/>
    </xf>
    <xf numFmtId="0" fontId="9" fillId="3" borderId="0" xfId="0" applyFont="1" applyFill="1" applyBorder="1" applyAlignment="1" applyProtection="1" quotePrefix="1">
      <alignment horizontal="left" vertical="top" indent="1"/>
      <protection hidden="1"/>
    </xf>
    <xf numFmtId="4" fontId="12" fillId="7" borderId="15" xfId="0" applyNumberFormat="1" applyFont="1" applyFill="1" applyBorder="1" applyAlignment="1" applyProtection="1">
      <alignment horizontal="right" vertical="top"/>
      <protection hidden="1"/>
    </xf>
    <xf numFmtId="0" fontId="10" fillId="3" borderId="0" xfId="0" applyFont="1" applyFill="1" applyBorder="1" applyAlignment="1" applyProtection="1" quotePrefix="1">
      <alignment horizontal="left" vertical="top" indent="1"/>
      <protection hidden="1"/>
    </xf>
    <xf numFmtId="4" fontId="10" fillId="3" borderId="0" xfId="0" applyNumberFormat="1" applyFont="1" applyFill="1" applyBorder="1" applyAlignment="1" applyProtection="1">
      <alignment horizontal="right" vertical="top"/>
      <protection hidden="1"/>
    </xf>
    <xf numFmtId="4" fontId="9" fillId="3" borderId="0" xfId="0" applyNumberFormat="1" applyFont="1" applyFill="1" applyBorder="1" applyAlignment="1" applyProtection="1">
      <alignment horizontal="left" vertical="top" indent="1"/>
      <protection hidden="1"/>
    </xf>
    <xf numFmtId="4" fontId="9" fillId="3" borderId="0" xfId="0" applyNumberFormat="1" applyFont="1" applyFill="1" applyBorder="1" applyAlignment="1" applyProtection="1">
      <alignment horizontal="left" vertical="top"/>
      <protection hidden="1"/>
    </xf>
    <xf numFmtId="4" fontId="11" fillId="7" borderId="16" xfId="0" applyNumberFormat="1" applyFont="1" applyFill="1" applyBorder="1" applyAlignment="1" applyProtection="1">
      <alignment horizontal="right" vertical="top"/>
      <protection hidden="1"/>
    </xf>
    <xf numFmtId="4" fontId="10" fillId="3" borderId="0" xfId="0" applyNumberFormat="1" applyFont="1" applyFill="1" applyBorder="1" applyAlignment="1" applyProtection="1">
      <alignment horizontal="left" vertical="top" indent="1"/>
      <protection hidden="1"/>
    </xf>
    <xf numFmtId="0" fontId="10" fillId="3" borderId="0" xfId="0" applyFont="1" applyFill="1" applyBorder="1" applyAlignment="1" applyProtection="1" quotePrefix="1">
      <alignment horizontal="left" vertical="top"/>
      <protection hidden="1"/>
    </xf>
    <xf numFmtId="0" fontId="10" fillId="3" borderId="3" xfId="0" applyFont="1" applyFill="1" applyBorder="1" applyAlignment="1" applyProtection="1" quotePrefix="1">
      <alignment horizontal="left" vertical="top"/>
      <protection hidden="1"/>
    </xf>
    <xf numFmtId="4" fontId="10" fillId="3" borderId="3" xfId="0" applyNumberFormat="1" applyFont="1" applyFill="1" applyBorder="1" applyAlignment="1" applyProtection="1">
      <alignment horizontal="right" vertical="top"/>
      <protection hidden="1"/>
    </xf>
    <xf numFmtId="4" fontId="9" fillId="3" borderId="3" xfId="0" applyNumberFormat="1" applyFont="1" applyFill="1" applyBorder="1" applyAlignment="1" applyProtection="1">
      <alignment horizontal="left" vertical="top" indent="1"/>
      <protection hidden="1"/>
    </xf>
    <xf numFmtId="4" fontId="9" fillId="3" borderId="3" xfId="0" applyNumberFormat="1" applyFont="1" applyFill="1" applyBorder="1" applyAlignment="1" applyProtection="1">
      <alignment horizontal="left" vertical="top"/>
      <protection hidden="1"/>
    </xf>
    <xf numFmtId="4" fontId="10" fillId="3" borderId="3" xfId="0" applyNumberFormat="1" applyFont="1" applyFill="1" applyBorder="1" applyAlignment="1" applyProtection="1">
      <alignment horizontal="left" vertical="top" indent="1"/>
      <protection hidden="1"/>
    </xf>
    <xf numFmtId="0" fontId="9" fillId="2" borderId="2" xfId="0" applyFont="1" applyFill="1" applyBorder="1" applyAlignment="1" applyProtection="1">
      <alignment horizontal="left" vertical="top"/>
      <protection hidden="1"/>
    </xf>
    <xf numFmtId="0" fontId="10" fillId="2" borderId="0" xfId="0" applyFont="1" applyFill="1" applyBorder="1" applyAlignment="1" applyProtection="1" quotePrefix="1">
      <alignment horizontal="left" vertical="top"/>
      <protection hidden="1"/>
    </xf>
    <xf numFmtId="4" fontId="10" fillId="2" borderId="0" xfId="0" applyNumberFormat="1" applyFont="1" applyFill="1" applyBorder="1" applyAlignment="1" applyProtection="1">
      <alignment horizontal="right" vertical="top"/>
      <protection hidden="1"/>
    </xf>
    <xf numFmtId="0" fontId="9" fillId="2" borderId="1" xfId="0" applyFont="1" applyFill="1" applyBorder="1" applyAlignment="1" applyProtection="1">
      <alignment horizontal="left" vertical="top"/>
      <protection hidden="1"/>
    </xf>
    <xf numFmtId="0" fontId="10" fillId="2" borderId="0" xfId="0" applyFont="1" applyFill="1" applyBorder="1" applyAlignment="1" applyProtection="1">
      <alignment horizontal="left" vertical="top"/>
      <protection hidden="1"/>
    </xf>
    <xf numFmtId="4" fontId="9" fillId="2" borderId="0" xfId="0" applyNumberFormat="1" applyFont="1" applyFill="1" applyBorder="1" applyAlignment="1" applyProtection="1">
      <alignment horizontal="right" vertical="top"/>
      <protection hidden="1"/>
    </xf>
    <xf numFmtId="172" fontId="9" fillId="2" borderId="0" xfId="0" applyNumberFormat="1" applyFont="1" applyFill="1" applyBorder="1" applyAlignment="1" applyProtection="1">
      <alignment horizontal="left" vertical="top" indent="1"/>
      <protection hidden="1"/>
    </xf>
    <xf numFmtId="172" fontId="9" fillId="2" borderId="0" xfId="0" applyNumberFormat="1" applyFont="1" applyFill="1" applyBorder="1" applyAlignment="1" applyProtection="1">
      <alignment horizontal="left" vertical="top"/>
      <protection hidden="1"/>
    </xf>
    <xf numFmtId="0" fontId="9" fillId="2" borderId="0" xfId="0" applyFont="1" applyFill="1" applyBorder="1" applyAlignment="1" applyProtection="1" quotePrefix="1">
      <alignment horizontal="left" vertical="top" indent="1"/>
      <protection hidden="1"/>
    </xf>
    <xf numFmtId="4" fontId="12" fillId="7" borderId="5" xfId="0" applyNumberFormat="1" applyFont="1" applyFill="1" applyBorder="1" applyAlignment="1" applyProtection="1">
      <alignment horizontal="right" vertical="top"/>
      <protection hidden="1"/>
    </xf>
    <xf numFmtId="172" fontId="10" fillId="2" borderId="0" xfId="0" applyNumberFormat="1" applyFont="1" applyFill="1" applyBorder="1" applyAlignment="1" applyProtection="1">
      <alignment horizontal="left" vertical="top"/>
      <protection hidden="1"/>
    </xf>
    <xf numFmtId="0" fontId="9" fillId="2" borderId="0" xfId="0" applyFont="1" applyFill="1" applyBorder="1" applyAlignment="1" applyProtection="1">
      <alignment horizontal="left" vertical="top" indent="1"/>
      <protection hidden="1"/>
    </xf>
    <xf numFmtId="4" fontId="12" fillId="7" borderId="6" xfId="0" applyNumberFormat="1" applyFont="1" applyFill="1" applyBorder="1" applyAlignment="1" applyProtection="1">
      <alignment horizontal="right" vertical="top"/>
      <protection hidden="1"/>
    </xf>
    <xf numFmtId="0" fontId="9" fillId="2" borderId="0" xfId="0" applyFont="1" applyFill="1" applyBorder="1" applyAlignment="1" applyProtection="1" quotePrefix="1">
      <alignment horizontal="left" vertical="top"/>
      <protection hidden="1"/>
    </xf>
    <xf numFmtId="0" fontId="9" fillId="2" borderId="0" xfId="0" applyFont="1" applyFill="1" applyBorder="1" applyAlignment="1" applyProtection="1">
      <alignment horizontal="left" vertical="top"/>
      <protection hidden="1"/>
    </xf>
    <xf numFmtId="4" fontId="10" fillId="2" borderId="0" xfId="0" applyNumberFormat="1" applyFont="1" applyFill="1" applyBorder="1" applyAlignment="1" applyProtection="1">
      <alignment horizontal="left" vertical="top"/>
      <protection hidden="1"/>
    </xf>
    <xf numFmtId="4" fontId="12" fillId="8" borderId="17" xfId="0" applyNumberFormat="1" applyFont="1" applyFill="1" applyBorder="1" applyAlignment="1" applyProtection="1">
      <alignment horizontal="right" vertical="top"/>
      <protection hidden="1"/>
    </xf>
    <xf numFmtId="4" fontId="12" fillId="8" borderId="4" xfId="0" applyNumberFormat="1" applyFont="1" applyFill="1" applyBorder="1" applyAlignment="1" applyProtection="1">
      <alignment horizontal="right" vertical="top"/>
      <protection hidden="1"/>
    </xf>
    <xf numFmtId="4" fontId="9" fillId="2" borderId="0" xfId="0" applyNumberFormat="1" applyFont="1" applyFill="1" applyAlignment="1" applyProtection="1">
      <alignment horizontal="right" vertical="top"/>
      <protection hidden="1"/>
    </xf>
    <xf numFmtId="0" fontId="9" fillId="2" borderId="0" xfId="0" applyFont="1" applyFill="1" applyAlignment="1" applyProtection="1">
      <alignment horizontal="left" vertical="top" indent="1"/>
      <protection hidden="1"/>
    </xf>
    <xf numFmtId="0" fontId="9" fillId="2" borderId="0" xfId="0" applyFont="1" applyFill="1" applyAlignment="1" applyProtection="1">
      <alignment horizontal="left" vertical="top"/>
      <protection hidden="1"/>
    </xf>
    <xf numFmtId="0" fontId="10" fillId="2" borderId="0" xfId="0" applyFont="1" applyFill="1" applyBorder="1" applyAlignment="1" applyProtection="1" quotePrefix="1">
      <alignment horizontal="left" vertical="top" indent="1"/>
      <protection hidden="1"/>
    </xf>
    <xf numFmtId="4" fontId="12" fillId="8" borderId="18" xfId="0" applyNumberFormat="1" applyFont="1" applyFill="1" applyBorder="1" applyAlignment="1" applyProtection="1">
      <alignment horizontal="right" vertical="top"/>
      <protection hidden="1"/>
    </xf>
    <xf numFmtId="0" fontId="10" fillId="2" borderId="0" xfId="0" applyFont="1" applyFill="1" applyBorder="1" applyAlignment="1" applyProtection="1">
      <alignment horizontal="left" vertical="top" indent="1"/>
      <protection hidden="1"/>
    </xf>
    <xf numFmtId="172" fontId="10" fillId="2" borderId="0" xfId="0" applyNumberFormat="1" applyFont="1" applyFill="1" applyBorder="1" applyAlignment="1" applyProtection="1">
      <alignment horizontal="left" vertical="top" indent="1"/>
      <protection hidden="1"/>
    </xf>
    <xf numFmtId="4" fontId="11" fillId="7" borderId="19" xfId="0" applyNumberFormat="1" applyFont="1" applyFill="1" applyBorder="1" applyAlignment="1" applyProtection="1">
      <alignment horizontal="right" vertical="top"/>
      <protection hidden="1"/>
    </xf>
    <xf numFmtId="0" fontId="9" fillId="2" borderId="10" xfId="0" applyFont="1" applyFill="1" applyBorder="1" applyAlignment="1" applyProtection="1">
      <alignment horizontal="left" vertical="top"/>
      <protection hidden="1"/>
    </xf>
    <xf numFmtId="0" fontId="10" fillId="2" borderId="3" xfId="0" applyFont="1" applyFill="1" applyBorder="1" applyAlignment="1" applyProtection="1" quotePrefix="1">
      <alignment horizontal="left" vertical="top"/>
      <protection hidden="1"/>
    </xf>
    <xf numFmtId="0" fontId="9" fillId="2" borderId="11" xfId="0" applyFont="1" applyFill="1" applyBorder="1" applyAlignment="1" applyProtection="1">
      <alignment horizontal="left" vertical="top"/>
      <protection hidden="1"/>
    </xf>
    <xf numFmtId="172" fontId="10" fillId="3" borderId="0" xfId="0" applyNumberFormat="1" applyFont="1" applyFill="1" applyBorder="1" applyAlignment="1" applyProtection="1">
      <alignment horizontal="left" vertical="top" indent="1"/>
      <protection hidden="1"/>
    </xf>
    <xf numFmtId="0" fontId="15" fillId="3" borderId="0" xfId="0" applyFont="1" applyFill="1" applyBorder="1" applyAlignment="1" applyProtection="1" quotePrefix="1">
      <alignment horizontal="left" vertical="top"/>
      <protection hidden="1"/>
    </xf>
    <xf numFmtId="0" fontId="9" fillId="0" borderId="0" xfId="0" applyFont="1" applyBorder="1" applyAlignment="1" applyProtection="1">
      <alignment horizontal="left" vertical="top"/>
      <protection hidden="1"/>
    </xf>
    <xf numFmtId="0" fontId="9" fillId="0" borderId="3" xfId="0" applyFont="1" applyBorder="1" applyAlignment="1" applyProtection="1">
      <alignment horizontal="left" vertical="top"/>
      <protection hidden="1"/>
    </xf>
    <xf numFmtId="4" fontId="9" fillId="0" borderId="3" xfId="0" applyNumberFormat="1" applyFont="1" applyBorder="1" applyAlignment="1" applyProtection="1">
      <alignment horizontal="right" vertical="top"/>
      <protection hidden="1"/>
    </xf>
    <xf numFmtId="0" fontId="9" fillId="0" borderId="3" xfId="0" applyFont="1" applyBorder="1" applyAlignment="1" applyProtection="1">
      <alignment horizontal="left" vertical="top" indent="1"/>
      <protection hidden="1"/>
    </xf>
    <xf numFmtId="4" fontId="9" fillId="0" borderId="0" xfId="0" applyNumberFormat="1" applyFont="1" applyAlignment="1" applyProtection="1">
      <alignment horizontal="right" vertical="top"/>
      <protection hidden="1"/>
    </xf>
    <xf numFmtId="0" fontId="9" fillId="0" borderId="0" xfId="0" applyFont="1" applyAlignment="1" applyProtection="1">
      <alignment horizontal="left" vertical="top" indent="1"/>
      <protection hidden="1"/>
    </xf>
    <xf numFmtId="10" fontId="16" fillId="7" borderId="4" xfId="18" applyNumberFormat="1" applyFont="1" applyFill="1" applyBorder="1" applyAlignment="1" applyProtection="1">
      <alignment horizontal="right" vertical="top"/>
      <protection hidden="1"/>
    </xf>
    <xf numFmtId="4" fontId="9" fillId="0" borderId="0" xfId="0" applyNumberFormat="1" applyFont="1" applyBorder="1" applyAlignment="1" applyProtection="1">
      <alignment horizontal="right" vertical="top"/>
      <protection hidden="1"/>
    </xf>
    <xf numFmtId="3" fontId="9" fillId="9" borderId="20" xfId="0" applyNumberFormat="1" applyFont="1" applyFill="1" applyBorder="1" applyAlignment="1" applyProtection="1">
      <alignment horizontal="right" vertical="top"/>
      <protection locked="0"/>
    </xf>
    <xf numFmtId="172" fontId="9" fillId="10" borderId="0" xfId="0" applyNumberFormat="1" applyFont="1" applyFill="1" applyBorder="1" applyAlignment="1" applyProtection="1">
      <alignment horizontal="left" vertical="top" indent="1"/>
      <protection hidden="1"/>
    </xf>
    <xf numFmtId="172" fontId="9" fillId="10" borderId="0" xfId="0" applyNumberFormat="1" applyFont="1" applyFill="1" applyBorder="1" applyAlignment="1" applyProtection="1" quotePrefix="1">
      <alignment horizontal="left" vertical="top" indent="1"/>
      <protection hidden="1"/>
    </xf>
    <xf numFmtId="0" fontId="9" fillId="10" borderId="0" xfId="0" applyFont="1" applyFill="1" applyBorder="1" applyAlignment="1" applyProtection="1" quotePrefix="1">
      <alignment horizontal="left" vertical="top"/>
      <protection hidden="1"/>
    </xf>
    <xf numFmtId="0" fontId="9" fillId="10" borderId="0" xfId="0" applyFont="1" applyFill="1" applyBorder="1" applyAlignment="1" applyProtection="1">
      <alignment horizontal="left" vertical="top" indent="1"/>
      <protection hidden="1"/>
    </xf>
    <xf numFmtId="0" fontId="9" fillId="10" borderId="0" xfId="0" applyFont="1" applyFill="1" applyBorder="1" applyAlignment="1" applyProtection="1" quotePrefix="1">
      <alignment horizontal="left" vertical="top" indent="1"/>
      <protection hidden="1"/>
    </xf>
    <xf numFmtId="3" fontId="4" fillId="3" borderId="0" xfId="0" applyNumberFormat="1" applyFont="1" applyFill="1" applyBorder="1" applyAlignment="1" applyProtection="1">
      <alignment horizontal="right"/>
      <protection/>
    </xf>
    <xf numFmtId="4" fontId="5" fillId="3" borderId="0" xfId="0" applyNumberFormat="1" applyFont="1" applyFill="1" applyBorder="1" applyAlignment="1" applyProtection="1">
      <alignment horizontal="left"/>
      <protection/>
    </xf>
    <xf numFmtId="4" fontId="19" fillId="3" borderId="0" xfId="0" applyNumberFormat="1" applyFont="1" applyFill="1" applyBorder="1" applyAlignment="1" applyProtection="1">
      <alignment horizontal="left"/>
      <protection/>
    </xf>
    <xf numFmtId="4" fontId="19" fillId="0" borderId="0" xfId="0" applyNumberFormat="1" applyFont="1" applyFill="1" applyBorder="1" applyAlignment="1" applyProtection="1">
      <alignment horizontal="right"/>
      <protection/>
    </xf>
    <xf numFmtId="3" fontId="4" fillId="2" borderId="0" xfId="0" applyNumberFormat="1" applyFont="1" applyFill="1" applyBorder="1" applyAlignment="1" applyProtection="1">
      <alignment horizontal="right"/>
      <protection/>
    </xf>
    <xf numFmtId="4" fontId="5" fillId="2" borderId="0" xfId="0" applyNumberFormat="1" applyFont="1" applyFill="1" applyBorder="1" applyAlignment="1" applyProtection="1">
      <alignment horizontal="left"/>
      <protection/>
    </xf>
    <xf numFmtId="4" fontId="19" fillId="2" borderId="0" xfId="0" applyNumberFormat="1" applyFont="1" applyFill="1" applyBorder="1" applyAlignment="1" applyProtection="1">
      <alignment horizontal="right"/>
      <protection/>
    </xf>
    <xf numFmtId="4" fontId="19" fillId="2" borderId="0" xfId="0" applyNumberFormat="1" applyFont="1" applyFill="1" applyBorder="1" applyAlignment="1" applyProtection="1">
      <alignment horizontal="left"/>
      <protection/>
    </xf>
    <xf numFmtId="4" fontId="20" fillId="2" borderId="0" xfId="0" applyNumberFormat="1" applyFont="1" applyFill="1" applyBorder="1" applyAlignment="1" applyProtection="1">
      <alignment horizontal="right"/>
      <protection/>
    </xf>
    <xf numFmtId="4" fontId="20" fillId="2" borderId="0" xfId="0" applyNumberFormat="1" applyFont="1" applyFill="1" applyBorder="1" applyAlignment="1" applyProtection="1">
      <alignment horizontal="left"/>
      <protection/>
    </xf>
    <xf numFmtId="172" fontId="5" fillId="2" borderId="0" xfId="0" applyNumberFormat="1" applyFont="1" applyFill="1" applyBorder="1" applyAlignment="1" applyProtection="1">
      <alignment horizontal="right"/>
      <protection/>
    </xf>
    <xf numFmtId="172" fontId="5" fillId="2" borderId="0" xfId="0" applyNumberFormat="1" applyFont="1" applyFill="1" applyBorder="1" applyAlignment="1" applyProtection="1">
      <alignment horizontal="left"/>
      <protection/>
    </xf>
    <xf numFmtId="4" fontId="5" fillId="2" borderId="0" xfId="0" applyNumberFormat="1" applyFont="1" applyFill="1" applyBorder="1" applyAlignment="1" applyProtection="1">
      <alignment horizontal="center"/>
      <protection/>
    </xf>
    <xf numFmtId="172" fontId="5" fillId="10" borderId="0" xfId="0" applyNumberFormat="1" applyFont="1" applyFill="1" applyBorder="1" applyAlignment="1" applyProtection="1">
      <alignment horizontal="left"/>
      <protection/>
    </xf>
    <xf numFmtId="172" fontId="5" fillId="10" borderId="0" xfId="0" applyNumberFormat="1" applyFont="1" applyFill="1" applyBorder="1" applyAlignment="1" applyProtection="1">
      <alignment horizontal="right"/>
      <protection/>
    </xf>
    <xf numFmtId="4" fontId="5" fillId="10" borderId="0" xfId="0" applyNumberFormat="1" applyFont="1" applyFill="1" applyBorder="1" applyAlignment="1" applyProtection="1">
      <alignment horizontal="right"/>
      <protection/>
    </xf>
    <xf numFmtId="4" fontId="5" fillId="2" borderId="0" xfId="0" applyNumberFormat="1" applyFont="1" applyFill="1" applyBorder="1" applyAlignment="1" applyProtection="1">
      <alignment horizontal="right"/>
      <protection/>
    </xf>
    <xf numFmtId="0" fontId="5" fillId="2" borderId="0" xfId="0" applyFont="1" applyFill="1" applyBorder="1" applyAlignment="1" applyProtection="1">
      <alignment/>
      <protection/>
    </xf>
    <xf numFmtId="2" fontId="5" fillId="2" borderId="0" xfId="0" applyNumberFormat="1" applyFont="1" applyFill="1" applyBorder="1" applyAlignment="1" applyProtection="1">
      <alignment/>
      <protection/>
    </xf>
    <xf numFmtId="172" fontId="5" fillId="2" borderId="0" xfId="0" applyNumberFormat="1" applyFont="1" applyFill="1" applyBorder="1" applyAlignment="1" applyProtection="1">
      <alignment horizontal="center"/>
      <protection/>
    </xf>
    <xf numFmtId="2" fontId="5" fillId="2" borderId="0" xfId="0" applyNumberFormat="1" applyFont="1" applyFill="1" applyBorder="1" applyAlignment="1" applyProtection="1">
      <alignment horizontal="right"/>
      <protection/>
    </xf>
    <xf numFmtId="0" fontId="0" fillId="2" borderId="0" xfId="0" applyFill="1" applyAlignment="1" applyProtection="1">
      <alignment/>
      <protection/>
    </xf>
    <xf numFmtId="4" fontId="5" fillId="2" borderId="0" xfId="0" applyNumberFormat="1" applyFont="1" applyFill="1" applyBorder="1" applyAlignment="1" applyProtection="1">
      <alignment horizontal="right"/>
      <protection/>
    </xf>
    <xf numFmtId="172" fontId="6" fillId="2" borderId="0" xfId="0" applyNumberFormat="1" applyFont="1" applyFill="1" applyBorder="1" applyAlignment="1" applyProtection="1" quotePrefix="1">
      <alignment horizontal="left"/>
      <protection/>
    </xf>
    <xf numFmtId="172" fontId="20" fillId="2" borderId="0" xfId="0" applyNumberFormat="1" applyFont="1" applyFill="1" applyBorder="1" applyAlignment="1" applyProtection="1">
      <alignment horizontal="left"/>
      <protection/>
    </xf>
    <xf numFmtId="172" fontId="6" fillId="2" borderId="0" xfId="0" applyNumberFormat="1" applyFont="1" applyFill="1" applyBorder="1" applyAlignment="1" applyProtection="1">
      <alignment horizontal="left"/>
      <protection/>
    </xf>
    <xf numFmtId="172" fontId="6" fillId="10" borderId="0" xfId="0" applyNumberFormat="1" applyFont="1" applyFill="1" applyBorder="1" applyAlignment="1" applyProtection="1" quotePrefix="1">
      <alignment horizontal="right"/>
      <protection/>
    </xf>
    <xf numFmtId="172" fontId="6" fillId="10" borderId="0" xfId="0" applyNumberFormat="1" applyFont="1" applyFill="1" applyBorder="1" applyAlignment="1" applyProtection="1" quotePrefix="1">
      <alignment horizontal="left"/>
      <protection/>
    </xf>
    <xf numFmtId="172" fontId="6" fillId="10" borderId="0" xfId="0" applyNumberFormat="1" applyFont="1" applyFill="1" applyBorder="1" applyAlignment="1" applyProtection="1">
      <alignment horizontal="right"/>
      <protection/>
    </xf>
    <xf numFmtId="4" fontId="5" fillId="10" borderId="0" xfId="0" applyNumberFormat="1" applyFont="1" applyFill="1" applyBorder="1" applyAlignment="1" applyProtection="1" quotePrefix="1">
      <alignment horizontal="right"/>
      <protection/>
    </xf>
    <xf numFmtId="0" fontId="5" fillId="10" borderId="0" xfId="0" applyFont="1" applyFill="1" applyBorder="1" applyAlignment="1" applyProtection="1">
      <alignment/>
      <protection/>
    </xf>
    <xf numFmtId="4" fontId="5" fillId="10" borderId="0" xfId="0" applyNumberFormat="1" applyFont="1" applyFill="1" applyBorder="1" applyAlignment="1" applyProtection="1">
      <alignment horizontal="right"/>
      <protection/>
    </xf>
    <xf numFmtId="181" fontId="5" fillId="2" borderId="0" xfId="0" applyNumberFormat="1" applyFont="1" applyFill="1" applyBorder="1" applyAlignment="1" applyProtection="1">
      <alignment horizontal="right"/>
      <protection/>
    </xf>
    <xf numFmtId="181" fontId="5" fillId="2" borderId="0" xfId="0" applyNumberFormat="1" applyFont="1" applyFill="1" applyBorder="1" applyAlignment="1" applyProtection="1">
      <alignment horizontal="right"/>
      <protection/>
    </xf>
    <xf numFmtId="172" fontId="5" fillId="2" borderId="3" xfId="0" applyNumberFormat="1" applyFont="1" applyFill="1" applyBorder="1" applyAlignment="1" applyProtection="1">
      <alignment horizontal="center"/>
      <protection/>
    </xf>
    <xf numFmtId="172" fontId="5" fillId="2" borderId="3" xfId="0" applyNumberFormat="1" applyFont="1" applyFill="1" applyBorder="1" applyAlignment="1" applyProtection="1">
      <alignment horizontal="left"/>
      <protection/>
    </xf>
    <xf numFmtId="172" fontId="19" fillId="2" borderId="3" xfId="0" applyNumberFormat="1" applyFont="1" applyFill="1" applyBorder="1" applyAlignment="1" applyProtection="1">
      <alignment horizontal="left"/>
      <protection/>
    </xf>
    <xf numFmtId="172" fontId="6" fillId="10" borderId="0" xfId="0" applyNumberFormat="1" applyFont="1" applyFill="1" applyBorder="1" applyAlignment="1" applyProtection="1">
      <alignment horizontal="left"/>
      <protection/>
    </xf>
    <xf numFmtId="0" fontId="9" fillId="10" borderId="1" xfId="0" applyFont="1" applyFill="1" applyBorder="1" applyAlignment="1" applyProtection="1">
      <alignment horizontal="left" vertical="top"/>
      <protection hidden="1"/>
    </xf>
    <xf numFmtId="2" fontId="5" fillId="0" borderId="0" xfId="0" applyNumberFormat="1" applyFont="1" applyBorder="1" applyAlignment="1">
      <alignment horizontal="center"/>
    </xf>
    <xf numFmtId="176" fontId="5" fillId="0" borderId="0" xfId="0" applyNumberFormat="1" applyFont="1" applyAlignment="1">
      <alignment horizontal="center"/>
    </xf>
    <xf numFmtId="181" fontId="5" fillId="0" borderId="1" xfId="0" applyNumberFormat="1" applyFont="1" applyBorder="1" applyAlignment="1">
      <alignment horizontal="center"/>
    </xf>
    <xf numFmtId="2" fontId="5" fillId="0" borderId="0" xfId="0" applyNumberFormat="1" applyFont="1" applyBorder="1" applyAlignment="1">
      <alignment horizontal="centerContinuous"/>
    </xf>
    <xf numFmtId="181" fontId="5" fillId="0" borderId="1" xfId="0" applyNumberFormat="1" applyFont="1" applyBorder="1" applyAlignment="1">
      <alignment horizontal="centerContinuous"/>
    </xf>
    <xf numFmtId="2" fontId="6" fillId="0" borderId="0" xfId="0" applyNumberFormat="1" applyFont="1" applyBorder="1" applyAlignment="1">
      <alignment horizontal="center"/>
    </xf>
    <xf numFmtId="181" fontId="6" fillId="0" borderId="1" xfId="0" applyNumberFormat="1" applyFont="1" applyBorder="1" applyAlignment="1">
      <alignment horizontal="center"/>
    </xf>
    <xf numFmtId="175" fontId="6" fillId="0" borderId="0" xfId="0" applyNumberFormat="1" applyFont="1" applyBorder="1" applyAlignment="1">
      <alignment horizontal="center"/>
    </xf>
    <xf numFmtId="176" fontId="6" fillId="0" borderId="0" xfId="0" applyNumberFormat="1" applyFont="1" applyAlignment="1">
      <alignment horizontal="center"/>
    </xf>
    <xf numFmtId="4" fontId="10" fillId="4" borderId="16" xfId="0" applyNumberFormat="1" applyFont="1" applyFill="1" applyBorder="1" applyAlignment="1" applyProtection="1">
      <alignment horizontal="right" vertical="top"/>
      <protection hidden="1" locked="0"/>
    </xf>
    <xf numFmtId="0" fontId="10" fillId="2" borderId="0" xfId="0" applyFont="1" applyFill="1" applyBorder="1" applyAlignment="1" applyProtection="1">
      <alignment horizontal="left" vertical="center" indent="1"/>
      <protection hidden="1"/>
    </xf>
    <xf numFmtId="49" fontId="9" fillId="5" borderId="4" xfId="0" applyNumberFormat="1" applyFont="1" applyFill="1" applyBorder="1" applyAlignment="1" applyProtection="1">
      <alignment horizontal="center" vertical="top"/>
      <protection hidden="1" locked="0"/>
    </xf>
    <xf numFmtId="4" fontId="12" fillId="8" borderId="4" xfId="0" applyNumberFormat="1" applyFont="1" applyFill="1" applyBorder="1" applyAlignment="1" applyProtection="1" quotePrefix="1">
      <alignment horizontal="right" vertical="top"/>
      <protection hidden="1"/>
    </xf>
    <xf numFmtId="0" fontId="9" fillId="2" borderId="0" xfId="0" applyFont="1" applyFill="1" applyBorder="1" applyAlignment="1" applyProtection="1">
      <alignment horizontal="center" vertical="top"/>
      <protection hidden="1"/>
    </xf>
    <xf numFmtId="172" fontId="5" fillId="11" borderId="0" xfId="0" applyNumberFormat="1" applyFont="1" applyFill="1" applyBorder="1" applyAlignment="1" applyProtection="1">
      <alignment horizontal="right"/>
      <protection/>
    </xf>
    <xf numFmtId="4" fontId="5" fillId="11" borderId="0" xfId="0" applyNumberFormat="1" applyFont="1" applyFill="1" applyBorder="1" applyAlignment="1" applyProtection="1" quotePrefix="1">
      <alignment horizontal="right"/>
      <protection/>
    </xf>
    <xf numFmtId="4" fontId="5" fillId="11" borderId="0" xfId="0" applyNumberFormat="1" applyFont="1" applyFill="1" applyBorder="1" applyAlignment="1" applyProtection="1">
      <alignment horizontal="right"/>
      <protection/>
    </xf>
    <xf numFmtId="0" fontId="5" fillId="11" borderId="0" xfId="0" applyFont="1" applyFill="1" applyBorder="1" applyAlignment="1" applyProtection="1">
      <alignment/>
      <protection/>
    </xf>
    <xf numFmtId="181" fontId="5" fillId="10" borderId="0" xfId="0" applyNumberFormat="1" applyFont="1" applyFill="1" applyBorder="1" applyAlignment="1" applyProtection="1">
      <alignment horizontal="right"/>
      <protection/>
    </xf>
    <xf numFmtId="4" fontId="9" fillId="10" borderId="0" xfId="0" applyNumberFormat="1" applyFont="1" applyFill="1" applyAlignment="1" applyProtection="1">
      <alignment horizontal="right" vertical="top"/>
      <protection hidden="1"/>
    </xf>
    <xf numFmtId="4" fontId="9" fillId="10" borderId="21" xfId="0" applyNumberFormat="1" applyFont="1" applyFill="1" applyBorder="1" applyAlignment="1" applyProtection="1">
      <alignment horizontal="right" vertical="top"/>
      <protection hidden="1"/>
    </xf>
    <xf numFmtId="4" fontId="9" fillId="12" borderId="4" xfId="0" applyNumberFormat="1" applyFont="1" applyFill="1" applyBorder="1" applyAlignment="1" applyProtection="1">
      <alignment horizontal="right" vertical="top"/>
      <protection hidden="1" locked="0"/>
    </xf>
    <xf numFmtId="2" fontId="5" fillId="10" borderId="8" xfId="0" applyNumberFormat="1" applyFont="1" applyFill="1" applyBorder="1" applyAlignment="1" applyProtection="1">
      <alignment horizontal="right"/>
      <protection/>
    </xf>
    <xf numFmtId="0" fontId="9" fillId="10" borderId="2" xfId="0" applyFont="1" applyFill="1" applyBorder="1" applyAlignment="1" applyProtection="1">
      <alignment horizontal="left" vertical="top"/>
      <protection hidden="1"/>
    </xf>
    <xf numFmtId="4" fontId="9" fillId="4" borderId="4" xfId="0" applyNumberFormat="1" applyFont="1" applyFill="1" applyBorder="1" applyAlignment="1" applyProtection="1">
      <alignment horizontal="right" vertical="center"/>
      <protection hidden="1" locked="0"/>
    </xf>
    <xf numFmtId="4" fontId="21" fillId="10" borderId="0" xfId="0" applyNumberFormat="1" applyFont="1" applyFill="1" applyBorder="1" applyAlignment="1" applyProtection="1" quotePrefix="1">
      <alignment horizontal="right"/>
      <protection/>
    </xf>
    <xf numFmtId="0" fontId="9" fillId="2" borderId="0" xfId="0" applyFont="1" applyFill="1" applyBorder="1" applyAlignment="1" applyProtection="1" quotePrefix="1">
      <alignment horizontal="left" vertical="center" indent="1"/>
      <protection hidden="1"/>
    </xf>
    <xf numFmtId="0" fontId="9" fillId="2" borderId="0" xfId="0" applyFont="1" applyFill="1" applyBorder="1" applyAlignment="1" applyProtection="1">
      <alignment horizontal="left" vertical="center" indent="1"/>
      <protection hidden="1"/>
    </xf>
    <xf numFmtId="3" fontId="9" fillId="13" borderId="4" xfId="0" applyNumberFormat="1" applyFont="1" applyFill="1" applyBorder="1" applyAlignment="1" applyProtection="1">
      <alignment horizontal="right" vertical="top"/>
      <protection hidden="1" locked="0"/>
    </xf>
    <xf numFmtId="172" fontId="9" fillId="3" borderId="0" xfId="0" applyNumberFormat="1" applyFont="1" applyFill="1" applyBorder="1" applyAlignment="1" applyProtection="1">
      <alignment horizontal="left" vertical="center"/>
      <protection hidden="1"/>
    </xf>
    <xf numFmtId="0" fontId="9" fillId="3" borderId="0" xfId="0" applyFont="1" applyFill="1" applyBorder="1" applyAlignment="1" applyProtection="1" quotePrefix="1">
      <alignment horizontal="left" vertical="center"/>
      <protection hidden="1"/>
    </xf>
    <xf numFmtId="0" fontId="9" fillId="10" borderId="0" xfId="0" applyFont="1" applyFill="1" applyBorder="1" applyAlignment="1" applyProtection="1">
      <alignment horizontal="left" vertical="center"/>
      <protection hidden="1"/>
    </xf>
    <xf numFmtId="172" fontId="9" fillId="10" borderId="0" xfId="0" applyNumberFormat="1" applyFont="1" applyFill="1" applyBorder="1" applyAlignment="1" applyProtection="1">
      <alignment horizontal="left" vertical="center"/>
      <protection hidden="1"/>
    </xf>
    <xf numFmtId="172" fontId="9" fillId="10" borderId="0" xfId="0" applyNumberFormat="1" applyFont="1" applyFill="1" applyBorder="1" applyAlignment="1" applyProtection="1" quotePrefix="1">
      <alignment horizontal="left" vertical="center"/>
      <protection hidden="1"/>
    </xf>
    <xf numFmtId="0" fontId="9" fillId="10" borderId="0" xfId="0" applyFont="1" applyFill="1" applyBorder="1" applyAlignment="1" applyProtection="1" quotePrefix="1">
      <alignment horizontal="left" vertical="center"/>
      <protection hidden="1"/>
    </xf>
    <xf numFmtId="0" fontId="5" fillId="3" borderId="0" xfId="0" applyFont="1" applyFill="1" applyBorder="1" applyAlignment="1" applyProtection="1">
      <alignment horizontal="left" vertical="center"/>
      <protection/>
    </xf>
    <xf numFmtId="172" fontId="9" fillId="3" borderId="0" xfId="0" applyNumberFormat="1" applyFont="1" applyFill="1" applyBorder="1" applyAlignment="1" applyProtection="1">
      <alignment horizontal="left" vertical="center" indent="1"/>
      <protection hidden="1"/>
    </xf>
    <xf numFmtId="172" fontId="10" fillId="3" borderId="0" xfId="0" applyNumberFormat="1" applyFont="1" applyFill="1" applyBorder="1" applyAlignment="1" applyProtection="1">
      <alignment horizontal="left" vertical="center"/>
      <protection hidden="1"/>
    </xf>
    <xf numFmtId="4" fontId="9" fillId="3" borderId="0" xfId="0" applyNumberFormat="1" applyFont="1" applyFill="1" applyBorder="1" applyAlignment="1" applyProtection="1">
      <alignment horizontal="right" vertical="center"/>
      <protection hidden="1"/>
    </xf>
    <xf numFmtId="0" fontId="9" fillId="3" borderId="0" xfId="0" applyFont="1" applyFill="1" applyBorder="1" applyAlignment="1" applyProtection="1">
      <alignment horizontal="left" vertical="center" indent="1"/>
      <protection hidden="1"/>
    </xf>
    <xf numFmtId="4" fontId="10" fillId="3" borderId="0" xfId="0" applyNumberFormat="1" applyFont="1" applyFill="1" applyBorder="1" applyAlignment="1" applyProtection="1">
      <alignment horizontal="right" vertical="center"/>
      <protection hidden="1"/>
    </xf>
    <xf numFmtId="172" fontId="10" fillId="3" borderId="0" xfId="0" applyNumberFormat="1" applyFont="1" applyFill="1" applyBorder="1" applyAlignment="1" applyProtection="1">
      <alignment horizontal="left" vertical="center" indent="1"/>
      <protection hidden="1"/>
    </xf>
    <xf numFmtId="2" fontId="6" fillId="10" borderId="8" xfId="0" applyNumberFormat="1" applyFont="1" applyFill="1" applyBorder="1" applyAlignment="1" applyProtection="1">
      <alignment horizontal="right" vertical="center"/>
      <protection/>
    </xf>
    <xf numFmtId="172" fontId="6" fillId="10" borderId="0" xfId="0" applyNumberFormat="1" applyFont="1" applyFill="1" applyBorder="1" applyAlignment="1" applyProtection="1">
      <alignment horizontal="left" vertical="center"/>
      <protection/>
    </xf>
    <xf numFmtId="4" fontId="6" fillId="10" borderId="0" xfId="0" applyNumberFormat="1" applyFont="1" applyFill="1" applyBorder="1" applyAlignment="1" applyProtection="1">
      <alignment horizontal="center" vertical="center"/>
      <protection/>
    </xf>
    <xf numFmtId="2" fontId="6" fillId="10" borderId="0" xfId="0" applyNumberFormat="1" applyFont="1" applyFill="1" applyBorder="1" applyAlignment="1" applyProtection="1">
      <alignment vertical="center"/>
      <protection/>
    </xf>
    <xf numFmtId="172" fontId="6" fillId="10" borderId="0" xfId="0" applyNumberFormat="1" applyFont="1" applyFill="1" applyBorder="1" applyAlignment="1" applyProtection="1" quotePrefix="1">
      <alignment horizontal="left" vertical="center"/>
      <protection/>
    </xf>
    <xf numFmtId="172" fontId="6" fillId="10" borderId="0" xfId="0" applyNumberFormat="1" applyFont="1" applyFill="1" applyBorder="1" applyAlignment="1" applyProtection="1">
      <alignment vertical="center"/>
      <protection/>
    </xf>
    <xf numFmtId="2" fontId="5" fillId="10" borderId="0" xfId="0" applyNumberFormat="1" applyFont="1" applyFill="1" applyBorder="1" applyAlignment="1" applyProtection="1" quotePrefix="1">
      <alignment horizontal="right" vertical="center"/>
      <protection/>
    </xf>
    <xf numFmtId="172" fontId="5" fillId="10" borderId="0" xfId="0" applyNumberFormat="1" applyFont="1" applyFill="1" applyBorder="1" applyAlignment="1" applyProtection="1" quotePrefix="1">
      <alignment horizontal="left" vertical="center"/>
      <protection/>
    </xf>
    <xf numFmtId="172" fontId="5" fillId="10" borderId="0" xfId="0" applyNumberFormat="1" applyFont="1" applyFill="1" applyBorder="1" applyAlignment="1" applyProtection="1">
      <alignment vertical="center"/>
      <protection/>
    </xf>
    <xf numFmtId="2" fontId="5" fillId="10" borderId="0" xfId="0" applyNumberFormat="1" applyFont="1" applyFill="1" applyBorder="1" applyAlignment="1" applyProtection="1">
      <alignment vertical="center"/>
      <protection/>
    </xf>
    <xf numFmtId="172" fontId="5" fillId="10" borderId="0" xfId="0" applyNumberFormat="1" applyFont="1" applyFill="1" applyBorder="1" applyAlignment="1" applyProtection="1">
      <alignment horizontal="right" vertical="center"/>
      <protection/>
    </xf>
    <xf numFmtId="172" fontId="5" fillId="10" borderId="0" xfId="0" applyNumberFormat="1" applyFont="1" applyFill="1" applyBorder="1" applyAlignment="1" applyProtection="1">
      <alignment horizontal="left" vertical="center"/>
      <protection/>
    </xf>
    <xf numFmtId="172" fontId="5" fillId="10" borderId="0" xfId="0" applyNumberFormat="1" applyFont="1" applyFill="1" applyBorder="1" applyAlignment="1" applyProtection="1">
      <alignment horizontal="right" vertical="center"/>
      <protection/>
    </xf>
    <xf numFmtId="172" fontId="20" fillId="10" borderId="0" xfId="0" applyNumberFormat="1" applyFont="1" applyFill="1" applyBorder="1" applyAlignment="1" applyProtection="1">
      <alignment horizontal="left" vertical="center"/>
      <protection/>
    </xf>
    <xf numFmtId="4" fontId="5" fillId="10" borderId="0" xfId="0" applyNumberFormat="1" applyFont="1" applyFill="1" applyBorder="1" applyAlignment="1" applyProtection="1">
      <alignment horizontal="right" vertical="center"/>
      <protection/>
    </xf>
    <xf numFmtId="4" fontId="0" fillId="10" borderId="0" xfId="0" applyNumberFormat="1" applyFill="1" applyBorder="1" applyAlignment="1" applyProtection="1">
      <alignment vertical="center"/>
      <protection/>
    </xf>
    <xf numFmtId="2" fontId="5" fillId="10" borderId="0" xfId="0" applyNumberFormat="1" applyFont="1" applyFill="1" applyBorder="1" applyAlignment="1" applyProtection="1">
      <alignment horizontal="right" vertical="center"/>
      <protection/>
    </xf>
    <xf numFmtId="4" fontId="12" fillId="8" borderId="4" xfId="0" applyNumberFormat="1" applyFont="1" applyFill="1" applyBorder="1" applyAlignment="1" applyProtection="1">
      <alignment horizontal="right" vertical="center"/>
      <protection hidden="1"/>
    </xf>
    <xf numFmtId="172" fontId="5" fillId="3" borderId="0" xfId="0" applyNumberFormat="1"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4" fontId="11" fillId="7" borderId="4" xfId="0" applyNumberFormat="1" applyFont="1" applyFill="1" applyBorder="1" applyAlignment="1" applyProtection="1">
      <alignment horizontal="right" vertical="center"/>
      <protection hidden="1"/>
    </xf>
    <xf numFmtId="0" fontId="9" fillId="3" borderId="2" xfId="0" applyFont="1" applyFill="1" applyBorder="1" applyAlignment="1" applyProtection="1">
      <alignment horizontal="left" vertical="center"/>
      <protection hidden="1"/>
    </xf>
    <xf numFmtId="0" fontId="9" fillId="0" borderId="2" xfId="0" applyFont="1" applyBorder="1" applyAlignment="1" applyProtection="1">
      <alignment horizontal="left" vertical="center"/>
      <protection hidden="1"/>
    </xf>
    <xf numFmtId="0" fontId="9" fillId="0" borderId="10" xfId="0" applyFont="1" applyBorder="1" applyAlignment="1" applyProtection="1">
      <alignment horizontal="left" vertical="center"/>
      <protection hidden="1"/>
    </xf>
    <xf numFmtId="0" fontId="23" fillId="3" borderId="0" xfId="0" applyFont="1" applyFill="1" applyBorder="1" applyAlignment="1" applyProtection="1">
      <alignment horizontal="left" vertical="top"/>
      <protection hidden="1"/>
    </xf>
    <xf numFmtId="0" fontId="23" fillId="3" borderId="0" xfId="0" applyFont="1" applyFill="1" applyBorder="1" applyAlignment="1" applyProtection="1">
      <alignment horizontal="left" vertical="top"/>
      <protection/>
    </xf>
    <xf numFmtId="4" fontId="9" fillId="3" borderId="0" xfId="0" applyNumberFormat="1" applyFont="1" applyFill="1" applyBorder="1" applyAlignment="1" applyProtection="1">
      <alignment horizontal="left" vertical="top" wrapText="1"/>
      <protection hidden="1"/>
    </xf>
    <xf numFmtId="4" fontId="9" fillId="0" borderId="0" xfId="0" applyNumberFormat="1" applyFont="1" applyBorder="1" applyAlignment="1" applyProtection="1">
      <alignment horizontal="left" vertical="top" wrapText="1"/>
      <protection hidden="1"/>
    </xf>
    <xf numFmtId="0" fontId="18" fillId="0" borderId="0" xfId="17" applyFont="1" applyBorder="1" applyAlignment="1" applyProtection="1">
      <alignment horizontal="right" vertical="top"/>
      <protection hidden="1"/>
    </xf>
    <xf numFmtId="4" fontId="9" fillId="3" borderId="0" xfId="0" applyNumberFormat="1" applyFont="1" applyFill="1" applyBorder="1" applyAlignment="1" applyProtection="1">
      <alignment horizontal="right" vertical="top"/>
      <protection hidden="1"/>
    </xf>
    <xf numFmtId="0" fontId="9" fillId="3" borderId="0" xfId="0" applyFont="1" applyFill="1" applyBorder="1" applyAlignment="1" applyProtection="1">
      <alignment vertical="top" wrapText="1"/>
      <protection/>
    </xf>
    <xf numFmtId="0" fontId="9" fillId="3" borderId="0" xfId="0" applyFont="1" applyFill="1" applyBorder="1" applyAlignment="1" applyProtection="1">
      <alignment horizontal="left" vertical="top" wrapText="1"/>
      <protection/>
    </xf>
  </cellXfs>
  <cellStyles count="7">
    <cellStyle name="Normal" xfId="0"/>
    <cellStyle name="Comma" xfId="15"/>
    <cellStyle name="Comma [0]" xfId="16"/>
    <cellStyle name="Hyperlink" xfId="17"/>
    <cellStyle name="Percent" xfId="18"/>
    <cellStyle name="Currency" xfId="19"/>
    <cellStyle name="Currency [0]" xfId="20"/>
  </cellStyles>
  <dxfs count="2">
    <dxf>
      <border/>
    </dxf>
    <dxf>
      <fill>
        <patternFill>
          <bgColor rgb="FFFFFF99"/>
        </patternFill>
      </fill>
      <border/>
    </dxf>
  </dxfs>
  <colors>
    <indexedColors>
      <rgbColor rgb="00000000"/>
      <rgbColor rgb="00FFFFFF"/>
      <rgbColor rgb="00FF0000"/>
      <rgbColor rgb="0000FF00"/>
      <rgbColor rgb="000000FF"/>
      <rgbColor rgb="00FFFF00"/>
      <rgbColor rgb="00FF00FF"/>
      <rgbColor rgb="0000FFFF"/>
      <rgbColor rgb="00708090"/>
      <rgbColor rgb="00FFFFFF"/>
      <rgbColor rgb="00FFFFFF"/>
      <rgbColor rgb="0000FF00"/>
      <rgbColor rgb="00339966"/>
      <rgbColor rgb="00FFFF00"/>
      <rgbColor rgb="00FF00FF"/>
      <rgbColor rgb="0000FFFF"/>
      <rgbColor rgb="00333399"/>
      <rgbColor rgb="00FF9900"/>
      <rgbColor rgb="00339999"/>
      <rgbColor rgb="00006600"/>
      <rgbColor rgb="00FFFFFF"/>
      <rgbColor rgb="00000060"/>
      <rgbColor rgb="00C0C0C0"/>
      <rgbColor rgb="00FFFF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FFFFFF"/>
      <rgbColor rgb="00FFFFFF"/>
      <rgbColor rgb="00FFFFFF"/>
      <rgbColor rgb="00FFCC00"/>
      <rgbColor rgb="00FFFFFF"/>
      <rgbColor rgb="00990000"/>
      <rgbColor rgb="003399FF"/>
      <rgbColor rgb="00FFFFFF"/>
      <rgbColor rgb="00993366"/>
      <rgbColor rgb="00FFFFFF"/>
      <rgbColor rgb="006699CC"/>
      <rgbColor rgb="00660066"/>
      <rgbColor rgb="00CC0033"/>
      <rgbColor rgb="00993366"/>
      <rgbColor rgb="00FF6633"/>
      <rgbColor rgb="000099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80</xdr:row>
      <xdr:rowOff>0</xdr:rowOff>
    </xdr:from>
    <xdr:to>
      <xdr:col>2</xdr:col>
      <xdr:colOff>1076325</xdr:colOff>
      <xdr:row>80</xdr:row>
      <xdr:rowOff>0</xdr:rowOff>
    </xdr:to>
    <xdr:pic>
      <xdr:nvPicPr>
        <xdr:cNvPr id="1" name="Picture 3"/>
        <xdr:cNvPicPr preferRelativeResize="1">
          <a:picLocks noChangeAspect="1"/>
        </xdr:cNvPicPr>
      </xdr:nvPicPr>
      <xdr:blipFill>
        <a:blip r:embed="rId1"/>
        <a:stretch>
          <a:fillRect/>
        </a:stretch>
      </xdr:blipFill>
      <xdr:spPr>
        <a:xfrm>
          <a:off x="390525" y="12830175"/>
          <a:ext cx="1066800" cy="0"/>
        </a:xfrm>
        <a:prstGeom prst="rect">
          <a:avLst/>
        </a:prstGeom>
        <a:noFill/>
        <a:ln w="1" cmpd="sng">
          <a:noFill/>
        </a:ln>
      </xdr:spPr>
    </xdr:pic>
    <xdr:clientData/>
  </xdr:twoCellAnchor>
  <xdr:twoCellAnchor>
    <xdr:from>
      <xdr:col>2</xdr:col>
      <xdr:colOff>9525</xdr:colOff>
      <xdr:row>0</xdr:row>
      <xdr:rowOff>0</xdr:rowOff>
    </xdr:from>
    <xdr:to>
      <xdr:col>3</xdr:col>
      <xdr:colOff>0</xdr:colOff>
      <xdr:row>0</xdr:row>
      <xdr:rowOff>0</xdr:rowOff>
    </xdr:to>
    <xdr:pic>
      <xdr:nvPicPr>
        <xdr:cNvPr id="2" name="Picture 6"/>
        <xdr:cNvPicPr preferRelativeResize="1">
          <a:picLocks noChangeAspect="1"/>
        </xdr:cNvPicPr>
      </xdr:nvPicPr>
      <xdr:blipFill>
        <a:blip r:embed="rId1"/>
        <a:stretch>
          <a:fillRect/>
        </a:stretch>
      </xdr:blipFill>
      <xdr:spPr>
        <a:xfrm>
          <a:off x="390525" y="0"/>
          <a:ext cx="3438525" cy="0"/>
        </a:xfrm>
        <a:prstGeom prst="rect">
          <a:avLst/>
        </a:prstGeom>
        <a:noFill/>
        <a:ln w="1" cmpd="sng">
          <a:noFill/>
        </a:ln>
      </xdr:spPr>
    </xdr:pic>
    <xdr:clientData/>
  </xdr:twoCellAnchor>
  <xdr:twoCellAnchor editAs="oneCell">
    <xdr:from>
      <xdr:col>1</xdr:col>
      <xdr:colOff>9525</xdr:colOff>
      <xdr:row>0</xdr:row>
      <xdr:rowOff>0</xdr:rowOff>
    </xdr:from>
    <xdr:to>
      <xdr:col>9</xdr:col>
      <xdr:colOff>0</xdr:colOff>
      <xdr:row>1</xdr:row>
      <xdr:rowOff>9525</xdr:rowOff>
    </xdr:to>
    <xdr:pic>
      <xdr:nvPicPr>
        <xdr:cNvPr id="3" name="Picture 8"/>
        <xdr:cNvPicPr preferRelativeResize="1">
          <a:picLocks noChangeAspect="1"/>
        </xdr:cNvPicPr>
      </xdr:nvPicPr>
      <xdr:blipFill>
        <a:blip r:embed="rId2"/>
        <a:srcRect l="2944"/>
        <a:stretch>
          <a:fillRect/>
        </a:stretch>
      </xdr:blipFill>
      <xdr:spPr>
        <a:xfrm>
          <a:off x="257175" y="0"/>
          <a:ext cx="741045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9</xdr:col>
      <xdr:colOff>0</xdr:colOff>
      <xdr:row>1</xdr:row>
      <xdr:rowOff>47625</xdr:rowOff>
    </xdr:to>
    <xdr:pic>
      <xdr:nvPicPr>
        <xdr:cNvPr id="1" name="Picture 2"/>
        <xdr:cNvPicPr preferRelativeResize="1">
          <a:picLocks noChangeAspect="1"/>
        </xdr:cNvPicPr>
      </xdr:nvPicPr>
      <xdr:blipFill>
        <a:blip r:embed="rId1"/>
        <a:stretch>
          <a:fillRect/>
        </a:stretch>
      </xdr:blipFill>
      <xdr:spPr>
        <a:xfrm>
          <a:off x="257175" y="0"/>
          <a:ext cx="571500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iftung-warentest.d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I83"/>
  <sheetViews>
    <sheetView showGridLines="0" showRowColHeaders="0" tabSelected="1" workbookViewId="0" topLeftCell="A1">
      <selection activeCell="D14" sqref="D14"/>
    </sheetView>
  </sheetViews>
  <sheetFormatPr defaultColWidth="11.421875" defaultRowHeight="12.75"/>
  <cols>
    <col min="1" max="1" width="3.7109375" style="111" customWidth="1"/>
    <col min="2" max="2" width="2.00390625" style="111" customWidth="1"/>
    <col min="3" max="3" width="51.7109375" style="111" customWidth="1"/>
    <col min="4" max="4" width="12.140625" style="189" customWidth="1"/>
    <col min="5" max="5" width="10.8515625" style="190" customWidth="1"/>
    <col min="6" max="6" width="9.140625" style="111" customWidth="1"/>
    <col min="7" max="7" width="11.421875" style="189" customWidth="1"/>
    <col min="8" max="8" width="10.7109375" style="190" customWidth="1"/>
    <col min="9" max="9" width="3.28125" style="111" customWidth="1"/>
    <col min="10" max="16384" width="11.421875" style="111" customWidth="1"/>
  </cols>
  <sheetData>
    <row r="1" spans="2:9" ht="47.25" customHeight="1">
      <c r="B1" s="107"/>
      <c r="C1" s="108"/>
      <c r="D1" s="109"/>
      <c r="E1" s="83"/>
      <c r="F1" s="84"/>
      <c r="G1" s="109"/>
      <c r="H1" s="83"/>
      <c r="I1" s="110"/>
    </row>
    <row r="2" spans="2:9" ht="11.25">
      <c r="B2" s="112"/>
      <c r="C2" s="113"/>
      <c r="D2" s="114"/>
      <c r="E2" s="115"/>
      <c r="F2" s="116"/>
      <c r="G2" s="114"/>
      <c r="H2" s="115"/>
      <c r="I2" s="117"/>
    </row>
    <row r="3" spans="2:9" ht="11.25">
      <c r="B3" s="112"/>
      <c r="C3" s="118" t="s">
        <v>83</v>
      </c>
      <c r="D3" s="114"/>
      <c r="E3" s="115"/>
      <c r="F3" s="116"/>
      <c r="G3" s="114"/>
      <c r="H3" s="115"/>
      <c r="I3" s="117"/>
    </row>
    <row r="4" spans="2:9" ht="27" customHeight="1">
      <c r="B4" s="112"/>
      <c r="C4" s="304" t="s">
        <v>82</v>
      </c>
      <c r="D4" s="114"/>
      <c r="E4" s="119"/>
      <c r="F4" s="113"/>
      <c r="G4" s="114"/>
      <c r="H4" s="119"/>
      <c r="I4" s="117"/>
    </row>
    <row r="5" spans="2:9" ht="12.75" customHeight="1">
      <c r="B5" s="112"/>
      <c r="C5" s="118"/>
      <c r="D5" s="114"/>
      <c r="E5" s="119"/>
      <c r="F5" s="113"/>
      <c r="G5" s="114"/>
      <c r="H5" s="119"/>
      <c r="I5" s="117"/>
    </row>
    <row r="6" spans="2:9" ht="60" customHeight="1">
      <c r="B6" s="120"/>
      <c r="C6" s="306" t="s">
        <v>92</v>
      </c>
      <c r="D6" s="307"/>
      <c r="E6" s="307"/>
      <c r="F6" s="307"/>
      <c r="G6" s="307"/>
      <c r="H6" s="307"/>
      <c r="I6" s="117"/>
    </row>
    <row r="7" spans="2:9" ht="12.75" customHeight="1">
      <c r="B7" s="120"/>
      <c r="C7" s="122"/>
      <c r="D7" s="121"/>
      <c r="E7" s="123"/>
      <c r="F7" s="123"/>
      <c r="G7" s="121"/>
      <c r="H7" s="123"/>
      <c r="I7" s="117"/>
    </row>
    <row r="8" spans="2:9" ht="79.5" customHeight="1">
      <c r="B8" s="120"/>
      <c r="C8" s="306" t="s">
        <v>111</v>
      </c>
      <c r="D8" s="307"/>
      <c r="E8" s="307"/>
      <c r="F8" s="307"/>
      <c r="G8" s="307"/>
      <c r="H8" s="307"/>
      <c r="I8" s="117"/>
    </row>
    <row r="9" spans="2:9" ht="12.75" customHeight="1">
      <c r="B9" s="120"/>
      <c r="C9" s="122"/>
      <c r="D9" s="121"/>
      <c r="E9" s="123"/>
      <c r="F9" s="123"/>
      <c r="G9" s="121"/>
      <c r="H9" s="123"/>
      <c r="I9" s="117"/>
    </row>
    <row r="10" spans="2:9" ht="25.5" customHeight="1">
      <c r="B10" s="120"/>
      <c r="C10" s="306" t="s">
        <v>93</v>
      </c>
      <c r="D10" s="307"/>
      <c r="E10" s="307"/>
      <c r="F10" s="307"/>
      <c r="G10" s="307"/>
      <c r="H10" s="307"/>
      <c r="I10" s="117"/>
    </row>
    <row r="11" spans="2:9" ht="12.75" customHeight="1">
      <c r="B11" s="120"/>
      <c r="C11" s="122"/>
      <c r="D11" s="124"/>
      <c r="E11" s="125"/>
      <c r="F11" s="123"/>
      <c r="G11" s="124"/>
      <c r="H11" s="125"/>
      <c r="I11" s="117"/>
    </row>
    <row r="12" spans="2:9" ht="48" customHeight="1">
      <c r="B12" s="112"/>
      <c r="C12" s="306" t="s">
        <v>94</v>
      </c>
      <c r="D12" s="307"/>
      <c r="E12" s="307"/>
      <c r="F12" s="307"/>
      <c r="G12" s="307"/>
      <c r="H12" s="307"/>
      <c r="I12" s="117"/>
    </row>
    <row r="13" spans="2:9" ht="12.75" customHeight="1">
      <c r="B13" s="126"/>
      <c r="C13" s="127"/>
      <c r="D13" s="128"/>
      <c r="E13" s="129"/>
      <c r="F13" s="127"/>
      <c r="G13" s="130"/>
      <c r="H13" s="129"/>
      <c r="I13" s="131"/>
    </row>
    <row r="14" spans="2:9" ht="18.75" customHeight="1">
      <c r="B14" s="132"/>
      <c r="C14" s="133" t="s">
        <v>0</v>
      </c>
      <c r="D14" s="247"/>
      <c r="E14" s="134" t="s">
        <v>86</v>
      </c>
      <c r="F14" s="135"/>
      <c r="G14" s="136"/>
      <c r="H14" s="137"/>
      <c r="I14" s="138"/>
    </row>
    <row r="15" spans="2:9" ht="12.75" customHeight="1">
      <c r="B15" s="112"/>
      <c r="C15" s="113"/>
      <c r="D15" s="114"/>
      <c r="E15" s="115"/>
      <c r="F15" s="116"/>
      <c r="G15" s="114"/>
      <c r="H15" s="115"/>
      <c r="I15" s="117"/>
    </row>
    <row r="16" spans="2:9" ht="15" customHeight="1">
      <c r="B16" s="112"/>
      <c r="C16" s="118" t="s">
        <v>2</v>
      </c>
      <c r="D16" s="139"/>
      <c r="E16" s="115"/>
      <c r="F16" s="116"/>
      <c r="G16" s="114"/>
      <c r="H16" s="115"/>
      <c r="I16" s="117"/>
    </row>
    <row r="17" spans="2:9" ht="12.75" customHeight="1">
      <c r="B17" s="112"/>
      <c r="C17" s="140" t="s">
        <v>25</v>
      </c>
      <c r="D17" s="63">
        <v>10</v>
      </c>
      <c r="E17" s="115" t="s">
        <v>68</v>
      </c>
      <c r="F17" s="116"/>
      <c r="G17" s="141">
        <f>D$14*D17/100</f>
        <v>0</v>
      </c>
      <c r="H17" s="115" t="s">
        <v>86</v>
      </c>
      <c r="I17" s="117"/>
    </row>
    <row r="18" spans="2:9" ht="12.75" customHeight="1">
      <c r="B18" s="112"/>
      <c r="C18" s="142" t="s">
        <v>84</v>
      </c>
      <c r="D18" s="143"/>
      <c r="E18" s="144"/>
      <c r="F18" s="145"/>
      <c r="G18" s="146">
        <f>D$14-G17</f>
        <v>0</v>
      </c>
      <c r="H18" s="147" t="s">
        <v>86</v>
      </c>
      <c r="I18" s="117"/>
    </row>
    <row r="19" spans="2:9" ht="12.75" customHeight="1">
      <c r="B19" s="112"/>
      <c r="C19" s="148"/>
      <c r="D19" s="199"/>
      <c r="E19" s="200"/>
      <c r="F19" s="200"/>
      <c r="G19" s="202"/>
      <c r="H19" s="201"/>
      <c r="I19" s="117"/>
    </row>
    <row r="20" spans="2:9" ht="12.75" customHeight="1">
      <c r="B20" s="126"/>
      <c r="C20" s="149"/>
      <c r="D20" s="150"/>
      <c r="E20" s="151"/>
      <c r="F20" s="152"/>
      <c r="G20" s="150"/>
      <c r="H20" s="153"/>
      <c r="I20" s="131"/>
    </row>
    <row r="21" spans="2:9" ht="12.75" customHeight="1">
      <c r="B21" s="154"/>
      <c r="C21" s="155"/>
      <c r="D21" s="203"/>
      <c r="E21" s="204"/>
      <c r="F21" s="204"/>
      <c r="G21" s="205"/>
      <c r="H21" s="206"/>
      <c r="I21" s="157"/>
    </row>
    <row r="22" spans="2:9" ht="12.75">
      <c r="B22" s="154"/>
      <c r="C22" s="158" t="s">
        <v>3</v>
      </c>
      <c r="D22" s="203"/>
      <c r="E22" s="204"/>
      <c r="F22" s="204"/>
      <c r="G22" s="207"/>
      <c r="H22" s="208"/>
      <c r="I22" s="157"/>
    </row>
    <row r="23" spans="2:9" ht="12.75">
      <c r="B23" s="154"/>
      <c r="C23" s="158"/>
      <c r="D23" s="209"/>
      <c r="E23" s="210"/>
      <c r="F23" s="210"/>
      <c r="G23" s="211"/>
      <c r="H23" s="210"/>
      <c r="I23" s="157"/>
    </row>
    <row r="24" spans="2:9" ht="13.5" customHeight="1">
      <c r="B24" s="154"/>
      <c r="C24" s="162" t="s">
        <v>25</v>
      </c>
      <c r="D24" s="63">
        <v>0</v>
      </c>
      <c r="E24" s="160" t="s">
        <v>68</v>
      </c>
      <c r="F24" s="161"/>
      <c r="G24" s="163">
        <f>D$14*D24/100</f>
        <v>0</v>
      </c>
      <c r="H24" s="160" t="s">
        <v>86</v>
      </c>
      <c r="I24" s="157"/>
    </row>
    <row r="25" spans="2:9" ht="13.5" customHeight="1">
      <c r="B25" s="154"/>
      <c r="C25" s="264" t="s">
        <v>95</v>
      </c>
      <c r="D25" s="262">
        <v>20</v>
      </c>
      <c r="E25" s="160" t="s">
        <v>68</v>
      </c>
      <c r="F25" s="164" t="s">
        <v>79</v>
      </c>
      <c r="G25" s="66"/>
      <c r="H25" s="160" t="s">
        <v>86</v>
      </c>
      <c r="I25" s="157"/>
    </row>
    <row r="26" spans="2:9" ht="13.5" customHeight="1">
      <c r="B26" s="154"/>
      <c r="C26" s="265" t="s">
        <v>96</v>
      </c>
      <c r="D26" s="63">
        <v>0</v>
      </c>
      <c r="E26" s="160" t="s">
        <v>68</v>
      </c>
      <c r="F26" s="161"/>
      <c r="G26" s="166">
        <f>IF($D$25&lt;=100,IF($D$25&gt;0,IF($G$25=0,IF($D$26&lt;=$D$25,$D$14*$D$26/100," ")," "),IF($G$25&lt;=$D$14,IF($G$25&gt;=0,IF($D$14&gt;0,IF($D$26&lt;=$G$25/$D$14*100,$D$14*$D$26/100," ")," ")," ")," "))," ")</f>
        <v>0</v>
      </c>
      <c r="H26" s="160" t="s">
        <v>86</v>
      </c>
      <c r="I26" s="157"/>
    </row>
    <row r="27" spans="2:9" ht="13.5" customHeight="1" hidden="1">
      <c r="B27" s="154"/>
      <c r="C27" s="196" t="s">
        <v>72</v>
      </c>
      <c r="D27" s="258">
        <f>IF(D25&gt;0,100-D25+D26,100-D25)</f>
        <v>80</v>
      </c>
      <c r="E27" s="194" t="s">
        <v>68</v>
      </c>
      <c r="F27" s="212"/>
      <c r="G27" s="263">
        <f>IF($D$25&lt;=100,IF($D$25&gt;0,IF($G$26&lt;&gt;" ",IF($G$25=0,$D$14-($D$14*$D$25/100)-$G$24+$G$26," ")," "),IF($G$26&lt;&gt;" ",IF($G$25&lt;=$D$14,$D$14-$G$25-$G$24+$G$26," "),IF($G$25&lt;=$D$14,$D$14-$G$24-$G$25," ")))," ")</f>
        <v>0</v>
      </c>
      <c r="H27" s="212" t="s">
        <v>86</v>
      </c>
      <c r="I27" s="157"/>
    </row>
    <row r="28" spans="2:9" ht="25.5" customHeight="1" hidden="1">
      <c r="B28" s="154"/>
      <c r="C28" s="196"/>
      <c r="D28" s="213"/>
      <c r="E28" s="212" t="s">
        <v>73</v>
      </c>
      <c r="F28" s="212"/>
      <c r="G28" s="214">
        <f>IF(G26&lt;&gt;" ",IF($G$27&lt;&gt;" ",G27-G26," "),G27)</f>
        <v>0</v>
      </c>
      <c r="H28" s="212"/>
      <c r="I28" s="157"/>
    </row>
    <row r="29" spans="2:9" ht="12.75" customHeight="1">
      <c r="B29" s="154"/>
      <c r="C29" s="167"/>
      <c r="D29" s="209"/>
      <c r="E29" s="210"/>
      <c r="F29" s="210"/>
      <c r="G29" s="215"/>
      <c r="H29" s="210"/>
      <c r="I29" s="157"/>
    </row>
    <row r="30" spans="2:9" ht="12.75" customHeight="1">
      <c r="B30" s="154"/>
      <c r="C30" s="168"/>
      <c r="D30" s="169" t="s">
        <v>78</v>
      </c>
      <c r="E30" s="160"/>
      <c r="F30" s="164"/>
      <c r="G30" s="169" t="s">
        <v>77</v>
      </c>
      <c r="H30" s="160"/>
      <c r="I30" s="157"/>
    </row>
    <row r="31" spans="2:9" ht="12" customHeight="1">
      <c r="B31" s="154"/>
      <c r="C31" s="168"/>
      <c r="D31" s="156"/>
      <c r="E31" s="160"/>
      <c r="F31" s="164"/>
      <c r="G31" s="159"/>
      <c r="H31" s="160"/>
      <c r="I31" s="157"/>
    </row>
    <row r="32" spans="2:9" ht="13.5" customHeight="1">
      <c r="B32" s="154"/>
      <c r="C32" s="165" t="s">
        <v>75</v>
      </c>
      <c r="D32" s="170" t="str">
        <f>IF($D$14&gt;0,IF($D$25&lt;=100,IF($D$25&gt;0,IF($G$25=0,$D$14-($D$25*$D$14/100)-$G$24," "),IF($G$25&lt;=$D$14,IF($G$25&gt;0,$D$14-$G$25-$G$24,$D$14-$G$24)," "))," ")," ")</f>
        <v> </v>
      </c>
      <c r="E32" s="160" t="s">
        <v>86</v>
      </c>
      <c r="F32" s="164"/>
      <c r="G32" s="171">
        <f>$G$26</f>
        <v>0</v>
      </c>
      <c r="H32" s="160" t="s">
        <v>86</v>
      </c>
      <c r="I32" s="157"/>
    </row>
    <row r="33" spans="2:9" ht="11.25">
      <c r="B33" s="154"/>
      <c r="C33" s="165" t="s">
        <v>4</v>
      </c>
      <c r="D33" s="193">
        <v>72</v>
      </c>
      <c r="E33" s="160" t="s">
        <v>5</v>
      </c>
      <c r="F33" s="161"/>
      <c r="G33" s="266"/>
      <c r="H33" s="160" t="s">
        <v>5</v>
      </c>
      <c r="I33" s="157"/>
    </row>
    <row r="34" spans="2:9" ht="12.75" customHeight="1">
      <c r="B34" s="154"/>
      <c r="C34" s="168"/>
      <c r="D34" s="172"/>
      <c r="E34" s="173"/>
      <c r="F34" s="174"/>
      <c r="G34" s="172"/>
      <c r="H34" s="165"/>
      <c r="I34" s="157"/>
    </row>
    <row r="35" spans="2:9" ht="11.25">
      <c r="B35" s="154"/>
      <c r="C35" s="177" t="s">
        <v>97</v>
      </c>
      <c r="D35" s="172"/>
      <c r="E35" s="173"/>
      <c r="F35" s="174"/>
      <c r="G35" s="172"/>
      <c r="H35" s="165"/>
      <c r="I35" s="157"/>
    </row>
    <row r="36" spans="2:9" ht="13.5" customHeight="1">
      <c r="B36" s="154"/>
      <c r="C36" s="162" t="s">
        <v>74</v>
      </c>
      <c r="D36" s="64">
        <v>460</v>
      </c>
      <c r="E36" s="160" t="s">
        <v>86</v>
      </c>
      <c r="F36" s="161"/>
      <c r="G36" s="67"/>
      <c r="H36" s="160" t="s">
        <v>86</v>
      </c>
      <c r="I36" s="157"/>
    </row>
    <row r="37" spans="2:9" ht="13.5" customHeight="1">
      <c r="B37" s="154"/>
      <c r="C37" s="165" t="s">
        <v>98</v>
      </c>
      <c r="D37" s="250" t="str">
        <f>IF($D$44&lt;&gt;"x",IF($G$28&gt;0,IF($D$36=0,IF($D$50&lt;&gt;" ",IF($D$50&gt;0,IF($D$38&gt;0,IF($D$39&gt;0,IF($D$40&lt;&gt;"x",($G$28-$D$39*$D$58-$D$38*$D$57)/((1/(((100+$D$50)/100)^(($D$33-1)/12)))*((((100+$D$50)/100)^(($D$33-2)/12))-1)/((((100+$D$50)/100)^(1/12))-1)),($G$28-$D$39*$D$58-$D$38*$D$57)/((1/(((100+$D$50)/100)^(($D$33)/12)))*((((100+$D$50)/100)^(($D$33-1)/12))-1)/((((100+$D$50)/100)^(1/12))-1))),($G$28-$D$38*$D$57)/((1/(((100+$D$50)/100)^(($D$33)/12)))*((((100+$D$50)/100)^(($D$33-1)/12))-1)/((((100+$D$50)/100)^(1/12))-1))),IF($D$39&gt;0,IF($D$40&lt;&gt;"x",($G$28-$D$39*$D$58)/((1/(((100+$D$50)/100)^(($D$33-1)/12)))*((((100+$D$50)/100)^(($D$33-1)/12))-1)/((((100+$D$50)/100)^(1/12))-1)),($G$28-$D$39*$D$58)/((1/(((100+$D$50)/100)^(($D$33)/12)))*((((100+$D$50)/100)^(($D$33)/12))-1)/((((100+$D$50)/100)^(1/12))-1))),($G$28)/((1/(((100+$D$50)/100)^(($D$33)/12)))*((((100+$D$50)/100)^(($D$33)/12))-1)/((((100+$D$50)/100)^(1/12))-1))))," ")," ")," ")," ")," ")</f>
        <v> </v>
      </c>
      <c r="E37" s="160" t="s">
        <v>86</v>
      </c>
      <c r="F37" s="161"/>
      <c r="G37" s="176" t="str">
        <f>IF($G$26&gt;0,IF($G$36=0,IF($G$46&gt;0,($G$26)/((1/(((100+$G$46)/100)^($G$33/12)))*((((100+$G$46)/100)^($G$33/12))-1)/((((100+$G$46)/100)^(1/12))-1))," ")," ")," ")</f>
        <v> </v>
      </c>
      <c r="H37" s="160" t="s">
        <v>86</v>
      </c>
      <c r="I37" s="157"/>
    </row>
    <row r="38" spans="2:9" ht="13.5" customHeight="1">
      <c r="B38" s="154"/>
      <c r="C38" s="165" t="s">
        <v>99</v>
      </c>
      <c r="D38" s="64"/>
      <c r="E38" s="160" t="s">
        <v>86</v>
      </c>
      <c r="F38" s="161"/>
      <c r="G38" s="159"/>
      <c r="H38" s="160"/>
      <c r="I38" s="157"/>
    </row>
    <row r="39" spans="2:9" ht="13.5" customHeight="1">
      <c r="B39" s="154"/>
      <c r="C39" s="165" t="s">
        <v>100</v>
      </c>
      <c r="D39" s="64">
        <v>2563.75</v>
      </c>
      <c r="E39" s="160" t="s">
        <v>86</v>
      </c>
      <c r="F39" s="161"/>
      <c r="G39" s="159"/>
      <c r="H39" s="165"/>
      <c r="I39" s="157"/>
    </row>
    <row r="40" spans="2:9" ht="13.5" customHeight="1">
      <c r="B40" s="154"/>
      <c r="C40" s="168" t="s">
        <v>101</v>
      </c>
      <c r="D40" s="65"/>
      <c r="E40" s="210"/>
      <c r="F40" s="210"/>
      <c r="G40" s="216"/>
      <c r="H40" s="216"/>
      <c r="I40" s="157"/>
    </row>
    <row r="41" spans="2:9" ht="13.5" customHeight="1">
      <c r="B41" s="154"/>
      <c r="C41" s="165" t="s">
        <v>88</v>
      </c>
      <c r="D41" s="171" t="str">
        <f>IF($D$32&lt;&gt;" ",IF($D$32&gt;0,IF($D$36&gt;0,IF($D$38&gt;0,IF($D$39&gt;0,IF($D$40&lt;&gt;"x",$D$60+($D$33-2)*$D$36+$D$38+$D$39,$D$60+($D$33-1)*$D$36+$D$38+$D$39),$D$60+(D$33-1)*$D$36+$D$38),IF($D$39&gt;0,IF($D$40&lt;&gt;"x",$D$60+($D$33-1)*$D$36+$D$39,$D$60+$D$33*$D$36+$D$39),$D$60+$D$33*$D$36)),IF($D$37&lt;&gt;" ",IF($D$38&gt;0,IF($D$39&gt;0,IF($D$40&lt;&gt;"x",$D$60+(D$33-2)*$D$37+$D$38+$D$39,$D$60+(D$33-1)*$D$37+$D$38+$D$39),$D$60+($D$33-1)*$D$37+$D$38),IF($D$39&gt;0,IF($D$40&lt;&gt;"x",$D$60+($D$33-1)*$D$37+$D$39,$D$60+$D$33*$D$37+$D$39),$D$60+$D$33*$D$37))," ")),$D$14)," ")</f>
        <v> </v>
      </c>
      <c r="E41" s="160" t="s">
        <v>86</v>
      </c>
      <c r="F41" s="210"/>
      <c r="G41" s="171" t="str">
        <f>IF($D$26&gt;0,IF($G$32&lt;&gt;" ",IF($G$36&gt;0,$G$33*$G$36,IF($G$37&lt;&gt;" ",$G$33*$G$37," "))," ")," ")</f>
        <v> </v>
      </c>
      <c r="H41" s="160" t="s">
        <v>86</v>
      </c>
      <c r="I41" s="157"/>
    </row>
    <row r="42" spans="2:9" ht="13.5" customHeight="1">
      <c r="B42" s="154"/>
      <c r="C42" s="165"/>
      <c r="D42" s="221"/>
      <c r="E42" s="210"/>
      <c r="F42" s="210"/>
      <c r="G42" s="217"/>
      <c r="H42" s="216"/>
      <c r="I42" s="157"/>
    </row>
    <row r="43" spans="2:9" ht="12.75" customHeight="1">
      <c r="B43" s="154"/>
      <c r="C43" s="177" t="s">
        <v>107</v>
      </c>
      <c r="D43" s="210"/>
      <c r="E43" s="210"/>
      <c r="F43" s="210"/>
      <c r="G43" s="218"/>
      <c r="H43" s="216"/>
      <c r="I43" s="157"/>
    </row>
    <row r="44" spans="2:9" ht="13.5" customHeight="1">
      <c r="B44" s="154"/>
      <c r="C44" s="165" t="s">
        <v>108</v>
      </c>
      <c r="D44" s="249" t="s">
        <v>109</v>
      </c>
      <c r="E44" s="210"/>
      <c r="F44" s="210"/>
      <c r="G44" s="219"/>
      <c r="H44" s="210"/>
      <c r="I44" s="157"/>
    </row>
    <row r="45" spans="2:9" ht="15" customHeight="1">
      <c r="B45" s="154"/>
      <c r="C45" s="248" t="s">
        <v>102</v>
      </c>
      <c r="D45" s="220"/>
      <c r="E45" s="220"/>
      <c r="F45" s="220"/>
      <c r="G45" s="220"/>
      <c r="H45" s="220"/>
      <c r="I45" s="157"/>
    </row>
    <row r="46" spans="2:9" ht="12" customHeight="1">
      <c r="B46" s="154"/>
      <c r="C46" s="165" t="s">
        <v>103</v>
      </c>
      <c r="D46" s="64"/>
      <c r="E46" s="160" t="s">
        <v>68</v>
      </c>
      <c r="F46" s="210"/>
      <c r="G46" s="64"/>
      <c r="H46" s="160" t="s">
        <v>68</v>
      </c>
      <c r="I46" s="157"/>
    </row>
    <row r="47" spans="2:9" ht="12" customHeight="1" hidden="1">
      <c r="B47" s="261"/>
      <c r="C47" s="197" t="s">
        <v>104</v>
      </c>
      <c r="D47" s="259"/>
      <c r="E47" s="194" t="s">
        <v>68</v>
      </c>
      <c r="F47" s="212"/>
      <c r="G47" s="260"/>
      <c r="H47" s="212"/>
      <c r="I47" s="157"/>
    </row>
    <row r="48" spans="2:9" ht="12" customHeight="1">
      <c r="B48" s="154"/>
      <c r="C48" s="165"/>
      <c r="D48" s="221"/>
      <c r="E48" s="160"/>
      <c r="F48" s="210"/>
      <c r="G48" s="165"/>
      <c r="H48" s="210"/>
      <c r="I48" s="157"/>
    </row>
    <row r="49" spans="2:9" ht="12" customHeight="1">
      <c r="B49" s="154"/>
      <c r="C49" s="174"/>
      <c r="D49" s="251"/>
      <c r="E49" s="174"/>
      <c r="F49" s="210"/>
      <c r="G49" s="221"/>
      <c r="H49" s="160"/>
      <c r="I49" s="157"/>
    </row>
    <row r="50" spans="2:9" ht="12" customHeight="1">
      <c r="B50" s="154"/>
      <c r="C50" s="160" t="s">
        <v>89</v>
      </c>
      <c r="D50" s="171">
        <f>IF($D$44="x",5,IF($D$44&gt;" "," ",IF($D$53&lt;&gt;" ",$D$53,IF($D$46&gt;0,$D$46," "))))</f>
        <v>5</v>
      </c>
      <c r="E50" s="160" t="s">
        <v>68</v>
      </c>
      <c r="F50" s="222"/>
      <c r="G50" s="171" t="str">
        <f>IF($G$46&gt;0,$G$46,IF($G$53=" "," ",$G$53))</f>
        <v> </v>
      </c>
      <c r="H50" s="160" t="s">
        <v>68</v>
      </c>
      <c r="I50" s="157"/>
    </row>
    <row r="51" spans="2:9" ht="12" customHeight="1">
      <c r="B51" s="154"/>
      <c r="C51" s="160"/>
      <c r="D51" s="219"/>
      <c r="E51" s="210"/>
      <c r="F51" s="210"/>
      <c r="G51" s="219"/>
      <c r="H51" s="223"/>
      <c r="I51" s="157"/>
    </row>
    <row r="52" spans="2:9" ht="13.5" customHeight="1">
      <c r="B52" s="154"/>
      <c r="C52" s="165" t="s">
        <v>71</v>
      </c>
      <c r="D52" s="218"/>
      <c r="E52" s="210"/>
      <c r="F52" s="210"/>
      <c r="G52" s="207"/>
      <c r="H52" s="223"/>
      <c r="I52" s="157"/>
    </row>
    <row r="53" spans="2:9" ht="13.5" customHeight="1">
      <c r="B53" s="154"/>
      <c r="C53" s="160" t="s">
        <v>76</v>
      </c>
      <c r="D53" s="171" t="str">
        <f>IF($D$32&lt;&gt;" ",IF($D$32&gt;0,IF($D$33&gt;0,IF($D$39&gt;0,IF($D$40="x",Eff3!AH5,Eff1!AG6),Eff1!AG6),Eff1!AG6)," ")," ")</f>
        <v> </v>
      </c>
      <c r="E53" s="160" t="s">
        <v>68</v>
      </c>
      <c r="F53" s="224"/>
      <c r="G53" s="171" t="str">
        <f>IF($G$46=0,IF($G$33&gt;0,Eff2!AB6," ")," ")</f>
        <v> </v>
      </c>
      <c r="H53" s="160" t="s">
        <v>68</v>
      </c>
      <c r="I53" s="157"/>
    </row>
    <row r="54" spans="2:9" ht="12.75" customHeight="1">
      <c r="B54" s="154"/>
      <c r="C54" s="160"/>
      <c r="D54" s="231"/>
      <c r="E54" s="224"/>
      <c r="F54" s="224"/>
      <c r="G54" s="232"/>
      <c r="H54" s="210"/>
      <c r="I54" s="157"/>
    </row>
    <row r="55" spans="2:9" ht="12.75" customHeight="1" hidden="1">
      <c r="B55" s="154"/>
      <c r="C55" s="194"/>
      <c r="D55" s="256"/>
      <c r="E55" s="225"/>
      <c r="F55" s="236"/>
      <c r="G55" s="227">
        <f>IF($G$33&gt;0,IF($G$26&gt;0,IF($G$50=" ",0,(1/(((100+$G$50)/100)^($G$33/12)))*((((100+$G$50)/100)^($G$33/12))-1)/((((100+$G$50)/100)^(1/12))-1)),0),0)</f>
        <v>0</v>
      </c>
      <c r="H55" s="230" t="str">
        <f>IF($G$33&gt;0,IF($G$46&gt;0,IF($G$46&lt;&gt;ROUND($G$50,2),IF($G$50&gt;0,IF($G$36&gt;0,IF($H$61&lt;&gt;"x",$H$61," ")," ")," ")," ")," ")," ")</f>
        <v> </v>
      </c>
      <c r="I55" s="157"/>
    </row>
    <row r="56" spans="2:9" ht="12.75" customHeight="1" hidden="1">
      <c r="B56" s="154"/>
      <c r="C56" s="195" t="s">
        <v>23</v>
      </c>
      <c r="D56" s="225">
        <f>IF($D$33&gt;0,IF($D$50&lt;&gt;" ",IF($D$50&gt;0,IF($D$38&gt;0,IF($D$39&gt;0,IF($D$40&lt;&gt;"x",(1/(((100+$D$50)/100)^(($D$33-1)/12)))*((((100+$D$50)/100)^(($D$33-2)/12))-1)/((((100+$D$50)/100)^(1/12))-1),(1/(((100+$D$50)/100)^(($D$33)/12)))*((((100+$D$50)/100)^(($D$33-1)/12))-1)/((((100+$D$50)/100)^(1/12))-1)),(1/(((100+$D$50)/100)^($D$33/12)))*((((100+$D$50)/100)^(($D$33-1)/12))-1)/((((100+$D$50)/100)^(1/12))-1)),IF($D$39&gt;0,IF($D$40&lt;&gt;"x",(1/(((100+$D$50)/100)^(($D$33-1)/12)))*((((100+$D$50)/100)^(($D$33-1)/12))-1)/((((100+$D$50)/100)^(1/12))-1),(1/(((100+$D$50)/100)^(($D$33)/12)))*((((100+$D$50)/100)^(($D$33)/12))-1)/((((100+$D$50)/100)^(1/12))-1)),(1/(((100+$D$50)/100)^($D$33/12)))*(((100+$D$50)/100)^(($D$33/12))-1)/((((100+$D$50)/100)^(1/12))-1))),"Rate/Zins!"),"Rate/Zins!"),"Laufzeit!")</f>
        <v>61.54560901526427</v>
      </c>
      <c r="E56" s="226" t="s">
        <v>6</v>
      </c>
      <c r="F56" s="225" t="str">
        <f>IF($D$33&gt;0,IF($D$46&lt;&gt;" ",IF($D$46&gt;0,IF($D$38&gt;0,IF($D$39&gt;0,IF($D$40&lt;&gt;"x",(1/(((100+$D$46)/100)^(($D$33)/12)))*((((100+$D$46)/100)^(($D$33-1)/12))-1)/((((100+$D$46)/100)^(1/12))-1),(1/(((100+$D$46)/100)^(($D$33-1)/12)))*((((100+$D$46)/100)^(($D$33-2)/12))-1)/((((100+$D$46)/100)^(1/12))-1)),(1/(((100+$D$46)/100)^($D$33/12)))*((((100+$D$46)/100)^(($D$33-1)/12))-1)/((((100+$D$46)/100)^(1/12))-1)),IF($D$39&gt;0,IF($D$40&gt;0,(1/(((100+$D$46)/100)^(($D$33)/12)))*((((100+$D$46)/100)^(($D$33/12)))-1)/((((100+$D$46)/100)^(1/12))-1),(1/(((100+$D$46)/100)^(($D$33-1)/12)))*((((100+$D$46)/100)^(($D$33-1)/12))-1)/((((100+$D$46)/100)^(1/12))-1)),(1/(((100+$D$46)/100)^($D$33/12)))*(((100+$D$46)/100)^(($D$33/12))-1)/((((100+$D$46)/100)^(1/12))-1))),"Rate/Zins!"),"Rate/Zins!"),"Laufzeit!")</f>
        <v>Rate/Zins!</v>
      </c>
      <c r="G56" s="253" t="str">
        <f>IF($F$56&lt;&gt;"Laufzeit!",IF($G$57&lt;&gt;"Rate/Zins!",IF($F$56&lt;&gt;" ",IF($D$46&gt;0,IF($F$61&lt;&gt;" ",IF($D$38&gt;0,IF($D$39&gt;0,$D$38*$F$57+$D$61*$G$57+$D$39*$F$58,$D$38*$F$57+$D$61*$G$57),IF($D$39&gt;0,$D$61*$G$57+$D$39*$F$58,$D$61*$G$57))," "),"Zins!")," ")," ")," ")</f>
        <v> </v>
      </c>
      <c r="H56" s="212"/>
      <c r="I56" s="157"/>
    </row>
    <row r="57" spans="2:9" ht="12.75" customHeight="1" hidden="1">
      <c r="B57" s="154"/>
      <c r="C57" s="195" t="s">
        <v>7</v>
      </c>
      <c r="D57" s="213" t="str">
        <f>IF($D$50&gt;0,IF($D$38&gt;0,((1/(1+($D$50)/100))^(1/12))," "),"Zins!")</f>
        <v> </v>
      </c>
      <c r="E57" s="213"/>
      <c r="F57" s="252" t="str">
        <f>IF($D$46&gt;0,IF($D$38&gt;0,((1/(1+($D$46)/100))^(1/12))," "),"Zins!")</f>
        <v>Zins!</v>
      </c>
      <c r="G57" s="225" t="str">
        <f>IF($D$33&gt;0,IF($D$46&lt;&gt;" ",IF($D$46&gt;0,IF($D$38&gt;0,IF($D$39&gt;0,IF($D$40&lt;&gt;"x",(1/(((100+$D$50)/100)^(($D$33)/12)))*((((100+$D$46)/100)^(($D$33-1)/12))-1)/((((100+$D$46)/100)^(1/12))-1),(1/(((100+$D$50)/100)^(($D$33-1)/12)))*((((100+$D$46)/100)^(($D$33-2)/12))-1)/((((100+$D$46)/100)^(1/12))-1)),(1/(((100+$D$50)/100)^($D$33/12)))*((((100+$D$46)/100)^(($D$33-1)/12))-1)/((((100+$D$46)/100)^(1/12))-1)),IF($D$39&gt;0,IF($D$40&gt;0,(1/(((100+$D$50)/100)^(($D$33)/12)))*((((100+$D$46)/100)^(($D$33/12)))-1)/((((100+$D$46)/100)^(1/12))-1),(1/(((100+$D$50)/100)^(($D$33-1)/12)))*((((100+$D$46)/100)^(($D$33-1)/12))-1)/((((100+$D$46)/100)^(1/12))-1)),(1/(((100+$D$50)/100)^($D$33/12)))*(((100+$D$46)/100)^(($D$33/12))-1)/((((100+$D$46)/100)^(1/12))-1))),"Rate/Zins!"),"Rate/Zins!"),"Laufzeit!")</f>
        <v>Rate/Zins!</v>
      </c>
      <c r="H57" s="212"/>
      <c r="I57" s="157"/>
    </row>
    <row r="58" spans="2:9" ht="12.75" customHeight="1" hidden="1">
      <c r="B58" s="154"/>
      <c r="C58" s="197" t="s">
        <v>16</v>
      </c>
      <c r="D58" s="213">
        <f>IF($D$50&lt;&gt;" ",IF($D$39&gt;0,(1/((1+($D$50)/100))^(($D$33)/12))," "),"Zins!")</f>
        <v>0.7462153966366276</v>
      </c>
      <c r="E58" s="213"/>
      <c r="F58" s="252" t="str">
        <f>IF($D$46&gt;0,IF($D$39&gt;0,(1/((1+($D$46)/100))^(($D$33)/12))," "),"Zins!")</f>
        <v>Zins!</v>
      </c>
      <c r="G58" s="253" t="str">
        <f>IF($D$33&gt;0,IF($D$46&gt;0,IF($D$50&gt;0,IF($D$36&gt;0,$D$36*((((100+$D$46)/100)^($D$33/12))-1)/((((100+$D$46)/100)^(1/12))-1)," ")," ")," ")," ")</f>
        <v> </v>
      </c>
      <c r="H58" s="212"/>
      <c r="I58" s="157"/>
    </row>
    <row r="59" spans="2:9" ht="15.75" customHeight="1" hidden="1">
      <c r="B59" s="154"/>
      <c r="C59" s="198" t="s">
        <v>40</v>
      </c>
      <c r="D59" s="228">
        <f>IF($D$56&lt;&gt;"Laufzeit!",IF($D$56&lt;&gt;"Rate/Zins!",IF($D$56&lt;&gt;" ",IF($D$50&gt;0,IF($D$36&gt;0,IF($D$46=0,IF($D$38&gt;0,IF($D$39&gt;0,$D$38*$D$57+$D$36*$D$56+$D$39*$D$58,$D$38*$D$57+$D$36*$D$56),IF($D$39&gt;0,$D$36*$D$56+$D$39*$D$58,$D$36*$D$56))," "),IF($D$37&lt;&gt;" ",IF($D$38&gt;0,IF($D$39&gt;0,$D$38*$D$57+$D$37*$D$56+$D$39*$D$58,$D$38*$D$57+$D$36*$D$56),IF($D$39&gt;0,$D$39*$D$58+$D$37*$D$56,$D$37*$D$56)))),"Zins!")," ")," ")," ")</f>
        <v>30224.089870148717</v>
      </c>
      <c r="E59" s="212" t="s">
        <v>86</v>
      </c>
      <c r="F59" s="253" t="str">
        <f>IF($F$56&lt;&gt;"Laufzeit!",IF($F$56&lt;&gt;"Rate/Zins!",IF($F$56&lt;&gt;" ",IF($D$50&gt;0,IF($D$36&gt;0,IF($D$38&gt;0,IF($D$39&gt;0,$D$38*$F$57+$D$36*$F$56+$D$39*$F$58,$D$38*$F$57+$D$36*$F$56),IF($D$39&gt;0,$D$36*$F$56+$D$39*$F$58,$D$36*$F$56)),IF($D$37&lt;&gt;" ",IF($D$38&gt;0,IF($D$39&gt;0,$D$38*$F$57+$D$37*$F$56+$D$39*$F$58,$D$38*$F$57+$D$36*$F$56),IF($D$39&gt;0,$D$39*$F$58+$D$37*$F$56,$D$37*$F$56))," ")),"Zins!")," ")," ")," ")</f>
        <v> </v>
      </c>
      <c r="G59" s="228">
        <f>IF($G$26&lt;&gt;" ",IF($G$26&gt;0,IF($G$55&gt;0,IF($G$36&gt;0,IF($G$46=0,$G$55*$G$36," "),IF($G$37&lt;&gt;" ",$G$55*$G$37," "))," "),0)," ")</f>
        <v>0</v>
      </c>
      <c r="H59" s="253" t="str">
        <f>IF($G$57&lt;&gt;"Laufzeit!",IF($G$57&lt;&gt;"Rate/Zins!",IF($G$57&lt;&gt;" ",IF($D$50&gt;0,IF($D$36&gt;0,IF($D$38&gt;0,IF($D$39&gt;0,$D$38*$G$57+$D$36*$G$57+$D$39*$F$58,$D$38*$G$57+$D$36*$G$57),IF($D$39&gt;0,$D$36*$G$57+$D$39*$F$58,$D$36*$G$57)),IF($D$37&lt;&gt;" ",IF($D$38&gt;0,IF($D$39&gt;0,$D$38*$G$57+$D$37*$G$57+$D$39*$F$58,$D$38*$G$57+$D$36*$G$57),IF($D$39&gt;0,$D$39*$F$58+$D$37*$G$57,$D$37*$G$57))," ")),"Zins!")," ")," ")," ")</f>
        <v> </v>
      </c>
      <c r="I59" s="157"/>
    </row>
    <row r="60" spans="2:9" ht="12.75" hidden="1">
      <c r="B60" s="154"/>
      <c r="C60" s="198" t="s">
        <v>8</v>
      </c>
      <c r="D60" s="230">
        <f>IF($G$26&lt;&gt;" ",IF($D$25&gt;0,IF($G$25=0,($D$25*$D$14/100)-$G$26,0),IF($G$25&gt;0,$G$25-$G$26,0)),0)</f>
        <v>0</v>
      </c>
      <c r="E60" s="212" t="s">
        <v>86</v>
      </c>
      <c r="F60" s="254">
        <f>IF($G$26&lt;&gt;" ",IF($D$25&gt;0,IF($G$25=0,($D$25*$D$14/100)-$G$26,0),IF($G$25&gt;0,$G$25-$G$26,0)),0)</f>
        <v>0</v>
      </c>
      <c r="G60" s="253" t="str">
        <f>IF($H$59&lt;&gt;" ",IF($H$59&lt;&gt;"Rate!",IF($H$59&lt;&gt;"Zins!",IF($G$26&gt;0,IF($G$59&lt;&gt;" ",$H$59+$G$59+$F$60," "),$H$59+$F$60),"x"),"x"),"x")</f>
        <v>x</v>
      </c>
      <c r="H60" s="253" t="str">
        <f>IF($F$59&lt;&gt;" ",IF($F$59&lt;&gt;"Rate!",IF($F$59&lt;&gt;"Zins!",IF($G$26&gt;0,IF($G$59&lt;&gt;" ",$F$59+$G$59+$F$60," "),$F$59+$F$60)," ")," ")," ")</f>
        <v> </v>
      </c>
      <c r="I60" s="157"/>
    </row>
    <row r="61" spans="2:9" ht="10.5" customHeight="1" hidden="1">
      <c r="B61" s="154"/>
      <c r="C61" s="198" t="s">
        <v>105</v>
      </c>
      <c r="D61" s="229">
        <f>IF($D$36&gt;0,$D$36,IF($D$37&lt;&gt;" ",$D$37," "))</f>
        <v>460</v>
      </c>
      <c r="E61" s="212" t="s">
        <v>86</v>
      </c>
      <c r="F61" s="255">
        <f>IF($D$36&gt;0,$D$36,IF($D$37&lt;&gt;" ",$D$37," "))</f>
        <v>460</v>
      </c>
      <c r="G61" s="257"/>
      <c r="H61" s="253" t="str">
        <f>IF($H$59&lt;&gt;" ",IF($H$59&lt;&gt;"Rate!",IF($H$59&lt;&gt;"Zins!",IF($G$26&gt;0,IF($G$59&lt;&gt;" ",$H$59+$G$59+$F$60," "),$H$59+$F$60),"x"),"x"),"x")</f>
        <v>x</v>
      </c>
      <c r="I61" s="157"/>
    </row>
    <row r="62" spans="2:9" ht="12.75" customHeight="1">
      <c r="B62" s="154"/>
      <c r="C62" s="175" t="s">
        <v>69</v>
      </c>
      <c r="D62" s="218"/>
      <c r="E62" s="210"/>
      <c r="F62" s="210"/>
      <c r="G62" s="179" t="str">
        <f>IF($D$41&lt;&gt;" ",IF($D$59&lt;&gt;" ",IF($D$59&lt;&gt;"Rate!",IF($D$59&lt;&gt;"Zins!",IF($G$26&lt;&gt;" ",IF($G$26&gt;0,IF($G$59&lt;&gt;" ",$D$59+$G$59+$D$60," "),$D$59+$D$60)," ")," ")," "),IF($D$60=$D$14,$D$14," "))," ")</f>
        <v> </v>
      </c>
      <c r="H62" s="178" t="s">
        <v>86</v>
      </c>
      <c r="I62" s="157"/>
    </row>
    <row r="63" spans="2:9" ht="12.75" customHeight="1">
      <c r="B63" s="180"/>
      <c r="C63" s="181"/>
      <c r="D63" s="233"/>
      <c r="E63" s="234"/>
      <c r="F63" s="234"/>
      <c r="G63" s="235"/>
      <c r="H63" s="235"/>
      <c r="I63" s="182"/>
    </row>
    <row r="64" spans="2:9" ht="12.75" customHeight="1">
      <c r="B64" s="301"/>
      <c r="C64" s="148"/>
      <c r="D64" s="114"/>
      <c r="E64" s="115"/>
      <c r="F64" s="116"/>
      <c r="G64" s="143"/>
      <c r="H64" s="183"/>
      <c r="I64" s="117"/>
    </row>
    <row r="65" spans="2:9" ht="11.25">
      <c r="B65" s="301"/>
      <c r="C65" s="184" t="s">
        <v>9</v>
      </c>
      <c r="D65" s="114"/>
      <c r="E65" s="115"/>
      <c r="F65" s="116"/>
      <c r="G65" s="114"/>
      <c r="H65" s="115"/>
      <c r="I65" s="117"/>
    </row>
    <row r="66" spans="2:9" ht="13.5" customHeight="1">
      <c r="B66" s="301"/>
      <c r="C66" s="140" t="s">
        <v>18</v>
      </c>
      <c r="D66" s="262">
        <v>20</v>
      </c>
      <c r="E66" s="274" t="s">
        <v>68</v>
      </c>
      <c r="F66" s="275" t="s">
        <v>79</v>
      </c>
      <c r="G66" s="262"/>
      <c r="H66" s="274" t="s">
        <v>86</v>
      </c>
      <c r="I66" s="117"/>
    </row>
    <row r="67" spans="2:9" ht="13.5" customHeight="1">
      <c r="B67" s="301"/>
      <c r="C67" s="119" t="s">
        <v>4</v>
      </c>
      <c r="D67" s="262">
        <v>36</v>
      </c>
      <c r="E67" s="274" t="s">
        <v>5</v>
      </c>
      <c r="F67" s="267"/>
      <c r="G67" s="276"/>
      <c r="H67" s="277"/>
      <c r="I67" s="117"/>
    </row>
    <row r="68" spans="2:9" ht="13.5" customHeight="1">
      <c r="B68" s="301"/>
      <c r="C68" s="267" t="s">
        <v>17</v>
      </c>
      <c r="D68" s="262">
        <v>360</v>
      </c>
      <c r="E68" s="274" t="s">
        <v>86</v>
      </c>
      <c r="F68" s="267"/>
      <c r="G68" s="276"/>
      <c r="H68" s="274"/>
      <c r="I68" s="117"/>
    </row>
    <row r="69" spans="2:9" ht="13.5" customHeight="1">
      <c r="B69" s="301"/>
      <c r="C69" s="268" t="s">
        <v>10</v>
      </c>
      <c r="D69" s="262">
        <v>20000</v>
      </c>
      <c r="E69" s="274" t="s">
        <v>91</v>
      </c>
      <c r="F69" s="267"/>
      <c r="G69" s="278"/>
      <c r="H69" s="279"/>
      <c r="I69" s="117"/>
    </row>
    <row r="70" spans="2:9" ht="11.25" hidden="1">
      <c r="B70" s="301"/>
      <c r="C70" s="269" t="s">
        <v>20</v>
      </c>
      <c r="D70" s="280">
        <v>7.5</v>
      </c>
      <c r="E70" s="281" t="s">
        <v>68</v>
      </c>
      <c r="F70" s="281"/>
      <c r="G70" s="282"/>
      <c r="H70" s="281"/>
      <c r="I70" s="237"/>
    </row>
    <row r="71" spans="2:9" ht="11.25" hidden="1">
      <c r="B71" s="301"/>
      <c r="C71" s="270" t="s">
        <v>21</v>
      </c>
      <c r="D71" s="283">
        <v>2.5</v>
      </c>
      <c r="E71" s="284" t="s">
        <v>68</v>
      </c>
      <c r="F71" s="284"/>
      <c r="G71" s="285"/>
      <c r="H71" s="284"/>
      <c r="I71" s="237"/>
    </row>
    <row r="72" spans="2:9" ht="12.75" hidden="1">
      <c r="B72" s="301"/>
      <c r="C72" s="270" t="s">
        <v>19</v>
      </c>
      <c r="D72" s="286">
        <v>5</v>
      </c>
      <c r="E72" s="287" t="str">
        <f>IF(D72&lt;&gt;" ","Prozent"," ")</f>
        <v>Prozent</v>
      </c>
      <c r="F72" s="287"/>
      <c r="G72" s="288"/>
      <c r="H72" s="287"/>
      <c r="I72" s="237"/>
    </row>
    <row r="73" spans="2:9" ht="12.75" hidden="1">
      <c r="B73" s="301"/>
      <c r="C73" s="271" t="s">
        <v>24</v>
      </c>
      <c r="D73" s="289"/>
      <c r="E73" s="287"/>
      <c r="F73" s="287"/>
      <c r="G73" s="290">
        <f>IF(D67&gt;0,IF(D68&gt;0,IF(D72&gt;0,((1/((1+($D$72)/100)^($D$67/12))*((1+($D$72)/100)^($D$67/12)-1)/((1+($D$72)/100)^(1/12)-1))*((1+($D$72)/100)^(1/12))),"Zins!"),"Rate!"),"Laufzeit!")</f>
        <v>33.55743497424033</v>
      </c>
      <c r="H73" s="287" t="s">
        <v>11</v>
      </c>
      <c r="I73" s="237"/>
    </row>
    <row r="74" spans="2:9" ht="12.75" hidden="1">
      <c r="B74" s="301"/>
      <c r="C74" s="269" t="s">
        <v>14</v>
      </c>
      <c r="D74" s="290"/>
      <c r="E74" s="291"/>
      <c r="F74" s="291"/>
      <c r="G74" s="292">
        <f>IF(D69&gt;0,(1/((1+($D$72)/100))^($D$67/12)),"kein Restwert!")</f>
        <v>0.863837598531476</v>
      </c>
      <c r="H74" s="293"/>
      <c r="I74" s="237"/>
    </row>
    <row r="75" spans="2:9" ht="12.75" hidden="1">
      <c r="B75" s="301"/>
      <c r="C75" s="272" t="s">
        <v>12</v>
      </c>
      <c r="D75" s="290"/>
      <c r="E75" s="291"/>
      <c r="F75" s="291"/>
      <c r="G75" s="294">
        <f>IF($G$73&lt;&gt;"Laufzeit!",IF($G$73&lt;&gt;"Rate!",IF($G$73&lt;&gt;"Zins!",$G$73*$D$68," ")," ")," ")</f>
        <v>12080.676590726518</v>
      </c>
      <c r="H75" s="291" t="s">
        <v>86</v>
      </c>
      <c r="I75" s="237"/>
    </row>
    <row r="76" spans="2:9" ht="12.75" hidden="1">
      <c r="B76" s="301"/>
      <c r="C76" s="272" t="s">
        <v>15</v>
      </c>
      <c r="D76" s="290"/>
      <c r="E76" s="291"/>
      <c r="F76" s="291"/>
      <c r="G76" s="295" t="str">
        <f>IF($G$74&lt;&gt;"kein Restwert!",IF($D$69&lt;$D$14,$D$69*$G$74," ")," ")</f>
        <v> </v>
      </c>
      <c r="H76" s="291" t="str">
        <f>IF(G76&lt;&gt;" ","EUR"," ")</f>
        <v> </v>
      </c>
      <c r="I76" s="237"/>
    </row>
    <row r="77" spans="2:9" ht="12.75" hidden="1">
      <c r="B77" s="301"/>
      <c r="C77" s="272" t="s">
        <v>13</v>
      </c>
      <c r="D77" s="296"/>
      <c r="E77" s="291"/>
      <c r="F77" s="291"/>
      <c r="G77" s="294">
        <f>IF($D$66&gt;0,IF($G$66=0,$D$66*$D$14/100," "),IF($G$66&gt;0,IF($D$66=0,$G$66," "),0))</f>
        <v>0</v>
      </c>
      <c r="H77" s="291" t="s">
        <v>86</v>
      </c>
      <c r="I77" s="237"/>
    </row>
    <row r="78" spans="2:9" ht="12.75">
      <c r="B78" s="301"/>
      <c r="C78" s="273" t="s">
        <v>90</v>
      </c>
      <c r="D78" s="297">
        <f>IF($G$77&lt;&gt;" ",IF($D$68&gt;0,IF($D$67&gt;0,$G$77+$D$67*$D$68," ")," ")," ")</f>
        <v>12960</v>
      </c>
      <c r="E78" s="274" t="s">
        <v>91</v>
      </c>
      <c r="F78" s="298"/>
      <c r="G78" s="299"/>
      <c r="H78" s="299"/>
      <c r="I78" s="117"/>
    </row>
    <row r="79" spans="2:9" ht="11.25">
      <c r="B79" s="301"/>
      <c r="C79" s="142" t="s">
        <v>70</v>
      </c>
      <c r="D79" s="276"/>
      <c r="E79" s="274"/>
      <c r="F79" s="267"/>
      <c r="G79" s="300" t="str">
        <f>IF(G75&lt;&gt;" ",IF(G76&lt;&gt;" ",IF(D69&gt;0,IF(G77&lt;&gt;" ",G75+G77+G76," "),IF(G77&lt;&gt;" ",G77+G75," "))," ")," ")</f>
        <v> </v>
      </c>
      <c r="H79" s="279" t="s">
        <v>86</v>
      </c>
      <c r="I79" s="117"/>
    </row>
    <row r="80" spans="2:9" ht="11.25">
      <c r="B80" s="301"/>
      <c r="C80" s="113"/>
      <c r="D80" s="276"/>
      <c r="E80" s="274"/>
      <c r="F80" s="267"/>
      <c r="G80" s="276"/>
      <c r="H80" s="274"/>
      <c r="I80" s="117"/>
    </row>
    <row r="81" spans="2:9" ht="11.25">
      <c r="B81" s="301"/>
      <c r="C81" s="185"/>
      <c r="D81" s="114"/>
      <c r="E81" s="309" t="s">
        <v>110</v>
      </c>
      <c r="F81" s="309"/>
      <c r="G81" s="309"/>
      <c r="H81" s="309"/>
      <c r="I81" s="117"/>
    </row>
    <row r="82" spans="2:9" ht="12.75">
      <c r="B82" s="302"/>
      <c r="C82" s="185"/>
      <c r="D82" s="192"/>
      <c r="E82" s="308" t="s">
        <v>87</v>
      </c>
      <c r="F82" s="308"/>
      <c r="G82" s="308"/>
      <c r="H82" s="308"/>
      <c r="I82" s="117"/>
    </row>
    <row r="83" spans="2:9" ht="11.25">
      <c r="B83" s="303"/>
      <c r="C83" s="186"/>
      <c r="D83" s="187"/>
      <c r="E83" s="188"/>
      <c r="F83" s="186"/>
      <c r="G83" s="187"/>
      <c r="H83" s="188"/>
      <c r="I83" s="131"/>
    </row>
  </sheetData>
  <sheetProtection password="CA55" sheet="1" objects="1" scenarios="1" selectLockedCells="1"/>
  <mergeCells count="6">
    <mergeCell ref="C6:H6"/>
    <mergeCell ref="C8:H8"/>
    <mergeCell ref="E82:H82"/>
    <mergeCell ref="C10:H10"/>
    <mergeCell ref="C12:H12"/>
    <mergeCell ref="E81:H81"/>
  </mergeCells>
  <conditionalFormatting sqref="G48:H48">
    <cfRule type="cellIs" priority="1" dxfId="0" operator="greaterThan" stopIfTrue="1">
      <formula>""" """</formula>
    </cfRule>
  </conditionalFormatting>
  <conditionalFormatting sqref="H49 E48 D49 C48">
    <cfRule type="cellIs" priority="2" dxfId="1" operator="greaterThan" stopIfTrue="1">
      <formula>""" """</formula>
    </cfRule>
  </conditionalFormatting>
  <conditionalFormatting sqref="H55 D48 G49">
    <cfRule type="cellIs" priority="3" dxfId="1" operator="greaterThan" stopIfTrue="1">
      <formula>"  "</formula>
    </cfRule>
  </conditionalFormatting>
  <hyperlinks>
    <hyperlink ref="E82:H82" r:id="rId1" display="http://www.stiftung-warentest.de/"/>
  </hyperlinks>
  <printOptions/>
  <pageMargins left="0.3937007874015748" right="0.3937007874015748" top="0.3937007874015748" bottom="0.3937007874015748" header="0.5118110236220472" footer="0.5118110236220472"/>
  <pageSetup orientation="portrait" paperSize="9" r:id="rId3"/>
  <drawing r:id="rId2"/>
</worksheet>
</file>

<file path=xl/worksheets/sheet2.xml><?xml version="1.0" encoding="utf-8"?>
<worksheet xmlns="http://schemas.openxmlformats.org/spreadsheetml/2006/main" xmlns:r="http://schemas.openxmlformats.org/officeDocument/2006/relationships">
  <dimension ref="B1:I49"/>
  <sheetViews>
    <sheetView showGridLines="0" showRowColHeaders="0" workbookViewId="0" topLeftCell="A1">
      <selection activeCell="E11" sqref="E11"/>
    </sheetView>
  </sheetViews>
  <sheetFormatPr defaultColWidth="11.421875" defaultRowHeight="12.75"/>
  <cols>
    <col min="1" max="1" width="3.7109375" style="73" customWidth="1"/>
    <col min="2" max="2" width="2.8515625" style="73" customWidth="1"/>
    <col min="3" max="4" width="11.421875" style="73" customWidth="1"/>
    <col min="5" max="5" width="9.28125" style="73" customWidth="1"/>
    <col min="6" max="6" width="9.8515625" style="73" customWidth="1"/>
    <col min="7" max="7" width="3.7109375" style="73" customWidth="1"/>
    <col min="8" max="8" width="33.28125" style="73" customWidth="1"/>
    <col min="9" max="9" width="4.00390625" style="73" customWidth="1"/>
    <col min="10" max="16384" width="11.421875" style="73" customWidth="1"/>
  </cols>
  <sheetData>
    <row r="1" spans="2:9" ht="45.75" customHeight="1">
      <c r="B1" s="70"/>
      <c r="C1" s="71"/>
      <c r="D1" s="71"/>
      <c r="E1" s="71"/>
      <c r="F1" s="71"/>
      <c r="G1" s="71"/>
      <c r="H1" s="71"/>
      <c r="I1" s="72"/>
    </row>
    <row r="2" spans="2:9" ht="11.25">
      <c r="B2" s="74"/>
      <c r="C2" s="75"/>
      <c r="D2" s="75"/>
      <c r="E2" s="75"/>
      <c r="F2" s="75"/>
      <c r="G2" s="75"/>
      <c r="H2" s="75"/>
      <c r="I2" s="76"/>
    </row>
    <row r="3" spans="2:9" s="80" customFormat="1" ht="12.75" customHeight="1">
      <c r="B3" s="77"/>
      <c r="C3" s="78" t="s">
        <v>83</v>
      </c>
      <c r="D3" s="79"/>
      <c r="E3" s="79"/>
      <c r="F3" s="79"/>
      <c r="I3" s="81"/>
    </row>
    <row r="4" spans="2:9" s="80" customFormat="1" ht="15.75" customHeight="1">
      <c r="B4" s="77"/>
      <c r="C4" s="305" t="s">
        <v>85</v>
      </c>
      <c r="D4" s="68"/>
      <c r="E4" s="68"/>
      <c r="F4" s="68"/>
      <c r="I4" s="81"/>
    </row>
    <row r="5" spans="2:9" s="82" customFormat="1" ht="12.75" customHeight="1">
      <c r="B5" s="77"/>
      <c r="C5" s="80"/>
      <c r="D5" s="80"/>
      <c r="E5" s="80"/>
      <c r="F5" s="80"/>
      <c r="G5" s="80"/>
      <c r="H5" s="80"/>
      <c r="I5" s="81"/>
    </row>
    <row r="6" spans="2:9" s="82" customFormat="1" ht="27.75" customHeight="1">
      <c r="B6" s="77"/>
      <c r="C6" s="311" t="s">
        <v>66</v>
      </c>
      <c r="D6" s="311"/>
      <c r="E6" s="311"/>
      <c r="F6" s="311"/>
      <c r="G6" s="311"/>
      <c r="H6" s="311"/>
      <c r="I6" s="81"/>
    </row>
    <row r="7" spans="2:9" s="82" customFormat="1" ht="11.25">
      <c r="B7" s="77"/>
      <c r="C7" s="85"/>
      <c r="D7" s="85"/>
      <c r="E7" s="85"/>
      <c r="F7" s="79"/>
      <c r="G7" s="80"/>
      <c r="H7" s="80"/>
      <c r="I7" s="81"/>
    </row>
    <row r="8" spans="2:9" s="82" customFormat="1" ht="48.75" customHeight="1">
      <c r="B8" s="77"/>
      <c r="C8" s="310" t="s">
        <v>67</v>
      </c>
      <c r="D8" s="310"/>
      <c r="E8" s="310"/>
      <c r="F8" s="310"/>
      <c r="G8" s="310"/>
      <c r="H8" s="310"/>
      <c r="I8" s="81"/>
    </row>
    <row r="9" spans="2:9" s="82" customFormat="1" ht="11.25">
      <c r="B9" s="86"/>
      <c r="C9" s="87"/>
      <c r="D9" s="88"/>
      <c r="E9" s="88"/>
      <c r="F9" s="87"/>
      <c r="G9" s="87"/>
      <c r="H9" s="87"/>
      <c r="I9" s="89"/>
    </row>
    <row r="10" spans="2:9" s="82" customFormat="1" ht="11.25">
      <c r="B10" s="90"/>
      <c r="C10" s="91"/>
      <c r="D10" s="91"/>
      <c r="E10" s="91"/>
      <c r="F10" s="91"/>
      <c r="G10" s="91"/>
      <c r="H10" s="91"/>
      <c r="I10" s="92"/>
    </row>
    <row r="11" spans="2:9" s="82" customFormat="1" ht="11.25">
      <c r="B11" s="93"/>
      <c r="C11" s="94" t="s">
        <v>4</v>
      </c>
      <c r="D11" s="94"/>
      <c r="E11" s="95">
        <v>60</v>
      </c>
      <c r="F11" s="58" t="s">
        <v>5</v>
      </c>
      <c r="G11" s="94"/>
      <c r="H11" s="94"/>
      <c r="I11" s="96"/>
    </row>
    <row r="12" spans="2:9" s="82" customFormat="1" ht="11.25">
      <c r="B12" s="93"/>
      <c r="C12" s="94" t="s">
        <v>80</v>
      </c>
      <c r="D12" s="94"/>
      <c r="E12" s="97">
        <v>0.0299</v>
      </c>
      <c r="F12" s="58"/>
      <c r="G12" s="94"/>
      <c r="H12" s="94"/>
      <c r="I12" s="96"/>
    </row>
    <row r="13" spans="2:9" s="82" customFormat="1" ht="13.5" customHeight="1">
      <c r="B13" s="93"/>
      <c r="C13" s="94" t="s">
        <v>81</v>
      </c>
      <c r="D13" s="94"/>
      <c r="E13" s="97">
        <v>0.075</v>
      </c>
      <c r="F13" s="58"/>
      <c r="G13" s="94"/>
      <c r="H13" s="94"/>
      <c r="I13" s="96"/>
    </row>
    <row r="14" spans="2:9" s="82" customFormat="1" ht="14.25" customHeight="1">
      <c r="B14" s="93"/>
      <c r="C14" s="94" t="s">
        <v>22</v>
      </c>
      <c r="D14" s="94"/>
      <c r="E14" s="191">
        <f>1-PV((1+E13)^(1/12)-1,E11,-PMT((1+E12)^(1/12)-1,E11,-1,0,0),0,0)</f>
        <v>0.09913164657595441</v>
      </c>
      <c r="F14" s="58"/>
      <c r="G14" s="94"/>
      <c r="H14" s="94"/>
      <c r="I14" s="96"/>
    </row>
    <row r="15" spans="2:9" s="80" customFormat="1" ht="11.25">
      <c r="B15" s="93"/>
      <c r="C15" s="98"/>
      <c r="D15" s="99"/>
      <c r="E15" s="94"/>
      <c r="F15" s="61"/>
      <c r="G15" s="94"/>
      <c r="H15" s="94"/>
      <c r="I15" s="96"/>
    </row>
    <row r="16" spans="2:9" s="80" customFormat="1" ht="11.25">
      <c r="B16" s="93"/>
      <c r="C16" s="98"/>
      <c r="D16" s="99"/>
      <c r="E16" s="94"/>
      <c r="F16" s="61"/>
      <c r="G16" s="94"/>
      <c r="H16" s="94"/>
      <c r="I16" s="96"/>
    </row>
    <row r="17" spans="2:9" s="80" customFormat="1" ht="11.25">
      <c r="B17" s="93"/>
      <c r="C17" s="69" t="s">
        <v>106</v>
      </c>
      <c r="D17" s="59"/>
      <c r="E17" s="99"/>
      <c r="F17" s="61"/>
      <c r="G17" s="94"/>
      <c r="H17" s="94"/>
      <c r="I17" s="96"/>
    </row>
    <row r="18" spans="2:9" s="80" customFormat="1" ht="11.25">
      <c r="B18" s="100"/>
      <c r="C18" s="101"/>
      <c r="D18" s="102"/>
      <c r="E18" s="102"/>
      <c r="F18" s="62"/>
      <c r="G18" s="103"/>
      <c r="H18" s="103"/>
      <c r="I18" s="104"/>
    </row>
    <row r="19" spans="3:6" s="80" customFormat="1" ht="11.25">
      <c r="C19" s="105"/>
      <c r="D19" s="106"/>
      <c r="E19" s="106"/>
      <c r="F19" s="60"/>
    </row>
    <row r="20" spans="3:6" s="80" customFormat="1" ht="11.25">
      <c r="C20" s="105"/>
      <c r="D20" s="106"/>
      <c r="E20" s="106"/>
      <c r="F20" s="60"/>
    </row>
    <row r="21" spans="3:6" s="80" customFormat="1" ht="11.25">
      <c r="C21" s="105"/>
      <c r="D21" s="106"/>
      <c r="E21" s="106"/>
      <c r="F21" s="60"/>
    </row>
    <row r="22" spans="3:6" s="80" customFormat="1" ht="11.25">
      <c r="C22" s="105"/>
      <c r="D22" s="106"/>
      <c r="E22" s="106"/>
      <c r="F22" s="60"/>
    </row>
    <row r="23" spans="3:6" s="80" customFormat="1" ht="11.25">
      <c r="C23" s="105"/>
      <c r="D23" s="106"/>
      <c r="E23" s="106"/>
      <c r="F23" s="60"/>
    </row>
    <row r="24" spans="3:6" s="80" customFormat="1" ht="11.25">
      <c r="C24" s="105"/>
      <c r="D24" s="106"/>
      <c r="E24" s="106"/>
      <c r="F24" s="60"/>
    </row>
    <row r="25" spans="3:6" s="80" customFormat="1" ht="11.25">
      <c r="C25" s="105"/>
      <c r="D25" s="106"/>
      <c r="E25" s="106"/>
      <c r="F25" s="60"/>
    </row>
    <row r="26" spans="3:6" s="80" customFormat="1" ht="11.25">
      <c r="C26" s="105"/>
      <c r="D26" s="106"/>
      <c r="E26" s="106"/>
      <c r="F26" s="60"/>
    </row>
    <row r="27" spans="3:6" s="80" customFormat="1" ht="11.25">
      <c r="C27" s="105"/>
      <c r="D27" s="106"/>
      <c r="E27" s="106"/>
      <c r="F27" s="60"/>
    </row>
    <row r="28" spans="3:6" s="80" customFormat="1" ht="11.25">
      <c r="C28" s="105"/>
      <c r="D28" s="106"/>
      <c r="E28" s="106"/>
      <c r="F28" s="60"/>
    </row>
    <row r="29" spans="3:6" s="80" customFormat="1" ht="11.25">
      <c r="C29" s="105"/>
      <c r="D29" s="106"/>
      <c r="E29" s="106"/>
      <c r="F29" s="60"/>
    </row>
    <row r="30" spans="3:6" s="80" customFormat="1" ht="11.25">
      <c r="C30" s="105"/>
      <c r="D30" s="106"/>
      <c r="E30" s="106"/>
      <c r="F30" s="60"/>
    </row>
    <row r="31" spans="3:6" s="80" customFormat="1" ht="11.25">
      <c r="C31" s="105"/>
      <c r="D31" s="106"/>
      <c r="E31" s="106"/>
      <c r="F31" s="60"/>
    </row>
    <row r="32" spans="3:6" s="80" customFormat="1" ht="11.25">
      <c r="C32" s="105"/>
      <c r="D32" s="106"/>
      <c r="E32" s="106"/>
      <c r="F32" s="60"/>
    </row>
    <row r="33" spans="3:6" s="80" customFormat="1" ht="11.25">
      <c r="C33" s="105"/>
      <c r="D33" s="106"/>
      <c r="E33" s="106"/>
      <c r="F33" s="60"/>
    </row>
    <row r="34" spans="3:6" s="80" customFormat="1" ht="11.25">
      <c r="C34" s="105"/>
      <c r="D34" s="106"/>
      <c r="E34" s="106"/>
      <c r="F34" s="60"/>
    </row>
    <row r="35" spans="3:6" s="80" customFormat="1" ht="11.25">
      <c r="C35" s="105"/>
      <c r="D35" s="106"/>
      <c r="E35" s="106"/>
      <c r="F35" s="60"/>
    </row>
    <row r="36" spans="3:6" s="80" customFormat="1" ht="11.25">
      <c r="C36" s="105"/>
      <c r="D36" s="106"/>
      <c r="E36" s="106"/>
      <c r="F36" s="60"/>
    </row>
    <row r="37" spans="3:6" s="80" customFormat="1" ht="11.25">
      <c r="C37" s="105"/>
      <c r="D37" s="106"/>
      <c r="E37" s="106"/>
      <c r="F37" s="60"/>
    </row>
    <row r="38" spans="3:6" s="80" customFormat="1" ht="11.25">
      <c r="C38" s="105"/>
      <c r="D38" s="106"/>
      <c r="E38" s="106"/>
      <c r="F38" s="60"/>
    </row>
    <row r="39" spans="3:6" s="80" customFormat="1" ht="11.25">
      <c r="C39" s="105"/>
      <c r="D39" s="106"/>
      <c r="E39" s="106"/>
      <c r="F39" s="60"/>
    </row>
    <row r="40" spans="3:6" s="80" customFormat="1" ht="11.25">
      <c r="C40" s="105"/>
      <c r="D40" s="106"/>
      <c r="E40" s="106"/>
      <c r="F40" s="60"/>
    </row>
    <row r="41" spans="3:6" s="80" customFormat="1" ht="11.25">
      <c r="C41" s="105"/>
      <c r="D41" s="106"/>
      <c r="E41" s="106"/>
      <c r="F41" s="60"/>
    </row>
    <row r="42" spans="3:6" s="80" customFormat="1" ht="11.25">
      <c r="C42" s="105"/>
      <c r="D42" s="106"/>
      <c r="E42" s="106"/>
      <c r="F42" s="60"/>
    </row>
    <row r="43" spans="3:6" s="80" customFormat="1" ht="11.25">
      <c r="C43" s="105"/>
      <c r="D43" s="106"/>
      <c r="E43" s="106"/>
      <c r="F43" s="60"/>
    </row>
    <row r="44" spans="3:6" s="80" customFormat="1" ht="11.25">
      <c r="C44" s="105"/>
      <c r="D44" s="106"/>
      <c r="E44" s="106"/>
      <c r="F44" s="60"/>
    </row>
    <row r="45" spans="3:6" s="80" customFormat="1" ht="11.25">
      <c r="C45" s="105"/>
      <c r="D45" s="106"/>
      <c r="E45" s="106"/>
      <c r="F45" s="60"/>
    </row>
    <row r="46" spans="3:6" s="80" customFormat="1" ht="11.25">
      <c r="C46" s="105"/>
      <c r="D46" s="106"/>
      <c r="E46" s="106"/>
      <c r="F46" s="60"/>
    </row>
    <row r="47" spans="3:6" s="80" customFormat="1" ht="11.25">
      <c r="C47" s="105"/>
      <c r="D47" s="106"/>
      <c r="E47" s="106"/>
      <c r="F47" s="60"/>
    </row>
    <row r="48" spans="3:6" s="80" customFormat="1" ht="11.25">
      <c r="C48" s="105"/>
      <c r="D48" s="106"/>
      <c r="E48" s="106"/>
      <c r="F48" s="60"/>
    </row>
    <row r="49" spans="3:6" s="80" customFormat="1" ht="11.25">
      <c r="C49" s="105"/>
      <c r="D49" s="106"/>
      <c r="E49" s="106"/>
      <c r="F49" s="60"/>
    </row>
  </sheetData>
  <sheetProtection password="CA55" sheet="1" objects="1" scenarios="1" selectLockedCells="1"/>
  <mergeCells count="2">
    <mergeCell ref="C8:H8"/>
    <mergeCell ref="C6:H6"/>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Q59"/>
  <sheetViews>
    <sheetView workbookViewId="0" topLeftCell="A1">
      <selection activeCell="C6" sqref="C6"/>
    </sheetView>
  </sheetViews>
  <sheetFormatPr defaultColWidth="11.421875" defaultRowHeight="12.75"/>
  <cols>
    <col min="1" max="1" width="3.00390625" style="14" customWidth="1"/>
    <col min="2" max="2" width="8.140625" style="13" customWidth="1"/>
    <col min="3" max="3" width="6.00390625" style="19" customWidth="1"/>
    <col min="4" max="4" width="3.00390625" style="38" customWidth="1"/>
    <col min="5" max="5" width="5.57421875" style="3" customWidth="1"/>
    <col min="6" max="6" width="8.57421875" style="39" customWidth="1"/>
    <col min="7" max="7" width="9.7109375" style="2" customWidth="1"/>
    <col min="8" max="8" width="8.421875" style="3" customWidth="1"/>
    <col min="9" max="9" width="4.57421875" style="21" customWidth="1"/>
    <col min="10" max="10" width="5.57421875" style="3" customWidth="1"/>
    <col min="11" max="11" width="8.57421875" style="39" customWidth="1"/>
    <col min="12" max="12" width="9.140625" style="39" bestFit="1" customWidth="1"/>
    <col min="13" max="13" width="8.140625" style="3" customWidth="1"/>
    <col min="14" max="14" width="5.8515625" style="3" customWidth="1"/>
    <col min="15" max="15" width="7.28125" style="3" customWidth="1"/>
    <col min="16" max="16" width="8.57421875" style="39" customWidth="1"/>
    <col min="17" max="17" width="9.140625" style="3" customWidth="1"/>
    <col min="18" max="18" width="7.140625" style="3" bestFit="1" customWidth="1"/>
    <col min="19" max="19" width="6.57421875" style="41" customWidth="1"/>
    <col min="20" max="20" width="6.8515625" style="41" bestFit="1" customWidth="1"/>
    <col min="21" max="21" width="10.140625" style="49" bestFit="1" customWidth="1"/>
    <col min="22" max="22" width="11.7109375" style="41" bestFit="1" customWidth="1"/>
    <col min="23" max="23" width="8.28125" style="41" customWidth="1"/>
    <col min="24" max="25" width="7.57421875" style="24" bestFit="1" customWidth="1"/>
    <col min="26" max="26" width="9.57421875" style="41" bestFit="1" customWidth="1"/>
    <col min="27" max="27" width="10.57421875" style="24" bestFit="1" customWidth="1"/>
    <col min="28" max="28" width="9.00390625" style="24" bestFit="1" customWidth="1"/>
    <col min="29" max="29" width="8.57421875" style="45" customWidth="1"/>
    <col min="30" max="30" width="8.57421875" style="45" bestFit="1" customWidth="1"/>
    <col min="31" max="31" width="11.57421875" style="45" bestFit="1" customWidth="1"/>
    <col min="32" max="32" width="12.57421875" style="45" customWidth="1"/>
    <col min="33" max="33" width="9.00390625" style="45" customWidth="1"/>
    <col min="34" max="34" width="8.57421875" style="31" customWidth="1"/>
    <col min="35" max="37" width="7.57421875" style="3" customWidth="1"/>
    <col min="38" max="38" width="6.57421875" style="24" bestFit="1" customWidth="1"/>
    <col min="39" max="39" width="6.57421875" style="28" bestFit="1" customWidth="1"/>
    <col min="40" max="40" width="7.8515625" style="3" customWidth="1"/>
    <col min="41" max="43" width="7.57421875" style="3" customWidth="1"/>
    <col min="44" max="44" width="6.57421875" style="24" customWidth="1"/>
    <col min="45" max="45" width="6.57421875" style="28" customWidth="1"/>
    <col min="46" max="49" width="5.57421875" style="3" customWidth="1"/>
    <col min="50" max="50" width="6.57421875" style="24" customWidth="1"/>
    <col min="51" max="51" width="6.57421875" style="28" customWidth="1"/>
    <col min="52" max="55" width="6.57421875" style="41" bestFit="1" customWidth="1"/>
    <col min="56" max="56" width="6.57421875" style="24" customWidth="1"/>
    <col min="57" max="57" width="6.57421875" style="28" customWidth="1"/>
    <col min="58" max="61" width="7.57421875" style="24" bestFit="1" customWidth="1"/>
    <col min="62" max="62" width="6.57421875" style="24" customWidth="1"/>
    <col min="63" max="63" width="6.57421875" style="28" customWidth="1"/>
    <col min="64" max="67" width="8.57421875" style="45" customWidth="1"/>
    <col min="68" max="68" width="8.57421875" style="51" bestFit="1" customWidth="1"/>
    <col min="69" max="69" width="8.57421875" style="52" bestFit="1" customWidth="1"/>
    <col min="70" max="16384" width="11.57421875" style="4" customWidth="1"/>
  </cols>
  <sheetData>
    <row r="1" spans="1:4" ht="15.75">
      <c r="A1" s="1" t="s">
        <v>26</v>
      </c>
      <c r="B1" s="2"/>
      <c r="C1" s="18"/>
      <c r="D1" s="35" t="s">
        <v>64</v>
      </c>
    </row>
    <row r="2" spans="1:4" ht="15.75">
      <c r="A2" s="1"/>
      <c r="B2" s="2"/>
      <c r="C2" s="15" t="s">
        <v>27</v>
      </c>
      <c r="D2" s="35"/>
    </row>
    <row r="3" spans="1:4" ht="12.75">
      <c r="A3" s="5" t="s">
        <v>37</v>
      </c>
      <c r="B3" s="6" t="s">
        <v>39</v>
      </c>
      <c r="C3" s="15" t="s">
        <v>28</v>
      </c>
      <c r="D3" s="36"/>
    </row>
    <row r="4" spans="1:4" ht="12.75">
      <c r="A4" s="5" t="s">
        <v>38</v>
      </c>
      <c r="B4" s="6" t="s">
        <v>1</v>
      </c>
      <c r="C4" s="15" t="s">
        <v>1</v>
      </c>
      <c r="D4" s="36"/>
    </row>
    <row r="5" spans="1:33" ht="12.75">
      <c r="A5" s="5"/>
      <c r="B5" s="6">
        <f>IF('Leasing, Bar- und Kreditkauf'!D38&gt;0,'Leasing, Bar- und Kreditkauf'!D38,0)</f>
        <v>0</v>
      </c>
      <c r="C5" s="15"/>
      <c r="D5" s="36"/>
      <c r="W5" s="42"/>
      <c r="AB5" s="8"/>
      <c r="AG5" s="57">
        <f>IF(AG9&lt;&gt;" ",IF(AG9&gt;0,MAX(AG9:AG29),IF(AC8&gt;0,AC8,IF(X8&gt;0,X8,IF(S8&gt;0,S8,IF(N8&gt;0,N8,IF(I8&gt;0.001,I8," ")))))))</f>
        <v>51.111</v>
      </c>
    </row>
    <row r="6" spans="1:69" ht="12.75">
      <c r="A6" s="15">
        <f>'Leasing, Bar- und Kreditkauf'!D33</f>
        <v>72</v>
      </c>
      <c r="B6" s="6">
        <f>IF('Leasing, Bar- und Kreditkauf'!D36&gt;0,'Leasing, Bar- und Kreditkauf'!D36,0)</f>
        <v>460</v>
      </c>
      <c r="C6" s="15">
        <f>'Leasing, Bar- und Kreditkauf'!G28</f>
        <v>0</v>
      </c>
      <c r="D6" s="36"/>
      <c r="O6" s="23"/>
      <c r="R6" s="23"/>
      <c r="T6" s="42"/>
      <c r="Y6" s="8"/>
      <c r="AD6" s="44"/>
      <c r="AG6" s="46" t="str">
        <f>IF(AG5&lt;&gt;" ",IF(AG5&gt;50," ",AG5)," ")</f>
        <v> </v>
      </c>
      <c r="AH6" s="32" t="s">
        <v>54</v>
      </c>
      <c r="AI6" s="26"/>
      <c r="AJ6" s="26"/>
      <c r="AK6" s="26"/>
      <c r="AL6" s="27"/>
      <c r="AM6" s="29"/>
      <c r="AN6" s="26" t="s">
        <v>55</v>
      </c>
      <c r="AO6" s="26"/>
      <c r="AP6" s="26"/>
      <c r="AQ6" s="26"/>
      <c r="AR6" s="27"/>
      <c r="AS6" s="29"/>
      <c r="AT6" s="26" t="s">
        <v>56</v>
      </c>
      <c r="AU6" s="26"/>
      <c r="AV6" s="26"/>
      <c r="AW6" s="26"/>
      <c r="AX6" s="27"/>
      <c r="AY6" s="29"/>
      <c r="AZ6" s="48" t="s">
        <v>58</v>
      </c>
      <c r="BA6" s="48"/>
      <c r="BB6" s="48"/>
      <c r="BC6" s="48"/>
      <c r="BD6" s="27"/>
      <c r="BE6" s="29"/>
      <c r="BF6" s="27" t="s">
        <v>61</v>
      </c>
      <c r="BG6" s="27"/>
      <c r="BH6" s="27"/>
      <c r="BI6" s="27"/>
      <c r="BJ6" s="27"/>
      <c r="BK6" s="29"/>
      <c r="BL6" s="47" t="s">
        <v>63</v>
      </c>
      <c r="BM6" s="47"/>
      <c r="BN6" s="47"/>
      <c r="BO6" s="47"/>
      <c r="BP6" s="53"/>
      <c r="BQ6" s="54"/>
    </row>
    <row r="7" spans="1:69" ht="12.75">
      <c r="A7" s="15"/>
      <c r="B7" s="6">
        <f>IF('Leasing, Bar- und Kreditkauf'!D39&gt;0,'Leasing, Bar- und Kreditkauf'!D39,0)</f>
        <v>2563.75</v>
      </c>
      <c r="C7" s="15"/>
      <c r="D7" s="36"/>
      <c r="G7" s="2">
        <f>IF(G9&lt;&gt;" ",IF(MIN(G9:G59)&gt;0,MIN(G9:G59),"Null")," ")</f>
        <v>12394.867030293777</v>
      </c>
      <c r="L7" s="2">
        <f>IF(L9&lt;&gt;" ",IF(MIN(L9:L29)&gt;0,MIN(L9:L29),"Null"),"Null")</f>
        <v>12232.610722088943</v>
      </c>
      <c r="Q7" s="2">
        <f>IF(Q9&lt;&gt;" ",IF(MIN(Q9:Q29)&gt;0,MIN(Q9:Q29),"Null"),"Null")</f>
        <v>12216.63424975629</v>
      </c>
      <c r="V7" s="2">
        <f>IF(V9&lt;&gt;" ",IF(MIN(V9:V29)&gt;0,MIN(V9:V29),"Null"),"Null")</f>
        <v>12215.039058523891</v>
      </c>
      <c r="AA7" s="2">
        <f>IF(AA9&lt;&gt;" ",IF(MIN(AA9:AA29)&gt;0,MIN(AA9:AA29),"Null"),"Null")</f>
        <v>12214.87956392555</v>
      </c>
      <c r="AF7" s="45">
        <f>IF(AF9&lt;&gt;" ",IF(MIN(AF9:AF29)&gt;0,MIN(AF9:AF29),"Null"),"Null")</f>
        <v>12214.863614710948</v>
      </c>
      <c r="AH7" s="33" t="s">
        <v>51</v>
      </c>
      <c r="AI7" s="17" t="s">
        <v>43</v>
      </c>
      <c r="AJ7" s="17" t="s">
        <v>44</v>
      </c>
      <c r="AK7" s="17" t="s">
        <v>45</v>
      </c>
      <c r="AL7" s="25" t="s">
        <v>46</v>
      </c>
      <c r="AM7" s="30" t="s">
        <v>49</v>
      </c>
      <c r="AN7" s="17" t="s">
        <v>51</v>
      </c>
      <c r="AO7" s="17" t="s">
        <v>43</v>
      </c>
      <c r="AP7" s="17" t="s">
        <v>44</v>
      </c>
      <c r="AQ7" s="17" t="s">
        <v>45</v>
      </c>
      <c r="AR7" s="25" t="s">
        <v>46</v>
      </c>
      <c r="AS7" s="30" t="s">
        <v>49</v>
      </c>
      <c r="AT7" s="17" t="s">
        <v>51</v>
      </c>
      <c r="AU7" s="17" t="s">
        <v>43</v>
      </c>
      <c r="AV7" s="17" t="s">
        <v>44</v>
      </c>
      <c r="AW7" s="17" t="s">
        <v>45</v>
      </c>
      <c r="AX7" s="25" t="s">
        <v>46</v>
      </c>
      <c r="AY7" s="30" t="s">
        <v>49</v>
      </c>
      <c r="AZ7" s="43" t="s">
        <v>51</v>
      </c>
      <c r="BA7" s="43" t="s">
        <v>43</v>
      </c>
      <c r="BB7" s="43" t="s">
        <v>44</v>
      </c>
      <c r="BC7" s="43" t="s">
        <v>45</v>
      </c>
      <c r="BD7" s="25" t="s">
        <v>46</v>
      </c>
      <c r="BE7" s="30" t="s">
        <v>49</v>
      </c>
      <c r="BF7" s="25" t="s">
        <v>51</v>
      </c>
      <c r="BG7" s="25" t="s">
        <v>43</v>
      </c>
      <c r="BH7" s="25" t="s">
        <v>44</v>
      </c>
      <c r="BI7" s="25" t="s">
        <v>45</v>
      </c>
      <c r="BJ7" s="25" t="s">
        <v>46</v>
      </c>
      <c r="BK7" s="30" t="s">
        <v>49</v>
      </c>
      <c r="BL7" s="46" t="s">
        <v>51</v>
      </c>
      <c r="BM7" s="46" t="s">
        <v>43</v>
      </c>
      <c r="BN7" s="46" t="s">
        <v>44</v>
      </c>
      <c r="BO7" s="46" t="s">
        <v>45</v>
      </c>
      <c r="BP7" s="55" t="s">
        <v>46</v>
      </c>
      <c r="BQ7" s="56" t="s">
        <v>49</v>
      </c>
    </row>
    <row r="8" spans="1:69" s="9" customFormat="1" ht="12.75">
      <c r="A8" s="7" t="s">
        <v>29</v>
      </c>
      <c r="B8" s="7" t="s">
        <v>30</v>
      </c>
      <c r="C8" s="15" t="s">
        <v>31</v>
      </c>
      <c r="D8" s="36" t="s">
        <v>32</v>
      </c>
      <c r="E8" s="7" t="s">
        <v>51</v>
      </c>
      <c r="F8" s="40" t="s">
        <v>28</v>
      </c>
      <c r="G8" s="6" t="s">
        <v>60</v>
      </c>
      <c r="H8" s="16">
        <f>G7</f>
        <v>12394.867030293777</v>
      </c>
      <c r="I8" s="22">
        <f>MAX(H9:H59)</f>
        <v>50</v>
      </c>
      <c r="J8" s="7" t="s">
        <v>52</v>
      </c>
      <c r="K8" s="40" t="s">
        <v>28</v>
      </c>
      <c r="L8" s="40" t="s">
        <v>36</v>
      </c>
      <c r="M8" s="16">
        <f>L7</f>
        <v>12232.610722088943</v>
      </c>
      <c r="N8" s="8">
        <f>MAX(M9:M29)</f>
        <v>51</v>
      </c>
      <c r="O8" s="7" t="s">
        <v>53</v>
      </c>
      <c r="P8" s="40" t="s">
        <v>28</v>
      </c>
      <c r="Q8" s="17" t="s">
        <v>57</v>
      </c>
      <c r="R8" s="16">
        <f>Q7</f>
        <v>12216.63424975629</v>
      </c>
      <c r="S8" s="42">
        <f>MAX(R9:R29)</f>
        <v>51.1</v>
      </c>
      <c r="T8" s="43" t="s">
        <v>53</v>
      </c>
      <c r="U8" s="50" t="s">
        <v>28</v>
      </c>
      <c r="V8" s="43" t="s">
        <v>59</v>
      </c>
      <c r="W8" s="16">
        <f>V7</f>
        <v>12215.039058523891</v>
      </c>
      <c r="X8" s="8">
        <f>IF(W9&lt;&gt;" ",MAX(W9:W29)," ")</f>
        <v>51.11</v>
      </c>
      <c r="Y8" s="25" t="s">
        <v>53</v>
      </c>
      <c r="Z8" s="43" t="s">
        <v>28</v>
      </c>
      <c r="AA8" s="25" t="s">
        <v>62</v>
      </c>
      <c r="AB8" s="8">
        <f>AA7</f>
        <v>12214.87956392555</v>
      </c>
      <c r="AC8" s="44">
        <f>IF(AB9&lt;&gt;" ",MAX(AB9:AB29)," ")</f>
        <v>51.111</v>
      </c>
      <c r="AD8" s="46" t="s">
        <v>53</v>
      </c>
      <c r="AE8" s="46" t="s">
        <v>28</v>
      </c>
      <c r="AF8" s="46" t="s">
        <v>65</v>
      </c>
      <c r="AG8" s="44">
        <f>AF7</f>
        <v>12214.863614710948</v>
      </c>
      <c r="AH8" s="34" t="s">
        <v>51</v>
      </c>
      <c r="AI8" s="7" t="s">
        <v>41</v>
      </c>
      <c r="AJ8" s="7" t="s">
        <v>42</v>
      </c>
      <c r="AK8" s="7" t="s">
        <v>47</v>
      </c>
      <c r="AL8" s="25" t="s">
        <v>48</v>
      </c>
      <c r="AM8" s="30" t="s">
        <v>50</v>
      </c>
      <c r="AN8" s="7" t="s">
        <v>51</v>
      </c>
      <c r="AO8" s="7" t="s">
        <v>41</v>
      </c>
      <c r="AP8" s="7" t="s">
        <v>42</v>
      </c>
      <c r="AQ8" s="7" t="s">
        <v>47</v>
      </c>
      <c r="AR8" s="25" t="s">
        <v>48</v>
      </c>
      <c r="AS8" s="30" t="s">
        <v>50</v>
      </c>
      <c r="AT8" s="7" t="s">
        <v>51</v>
      </c>
      <c r="AU8" s="7" t="s">
        <v>41</v>
      </c>
      <c r="AV8" s="7" t="s">
        <v>42</v>
      </c>
      <c r="AW8" s="7" t="s">
        <v>47</v>
      </c>
      <c r="AX8" s="25" t="s">
        <v>48</v>
      </c>
      <c r="AY8" s="30" t="s">
        <v>50</v>
      </c>
      <c r="AZ8" s="43" t="s">
        <v>51</v>
      </c>
      <c r="BA8" s="43" t="s">
        <v>41</v>
      </c>
      <c r="BB8" s="43" t="s">
        <v>42</v>
      </c>
      <c r="BC8" s="43" t="s">
        <v>47</v>
      </c>
      <c r="BD8" s="25" t="s">
        <v>48</v>
      </c>
      <c r="BE8" s="30" t="s">
        <v>50</v>
      </c>
      <c r="BF8" s="25" t="s">
        <v>51</v>
      </c>
      <c r="BG8" s="25" t="s">
        <v>41</v>
      </c>
      <c r="BH8" s="25" t="s">
        <v>42</v>
      </c>
      <c r="BI8" s="25" t="s">
        <v>47</v>
      </c>
      <c r="BJ8" s="25" t="s">
        <v>48</v>
      </c>
      <c r="BK8" s="30" t="s">
        <v>50</v>
      </c>
      <c r="BL8" s="46" t="s">
        <v>51</v>
      </c>
      <c r="BM8" s="46" t="s">
        <v>41</v>
      </c>
      <c r="BN8" s="46" t="s">
        <v>42</v>
      </c>
      <c r="BO8" s="46" t="s">
        <v>47</v>
      </c>
      <c r="BP8" s="55" t="s">
        <v>48</v>
      </c>
      <c r="BQ8" s="56" t="s">
        <v>50</v>
      </c>
    </row>
    <row r="9" spans="1:69" ht="12.75">
      <c r="A9" s="10">
        <f>A6</f>
        <v>72</v>
      </c>
      <c r="B9" s="11">
        <f>B6</f>
        <v>460</v>
      </c>
      <c r="C9" s="12">
        <f>C6</f>
        <v>0</v>
      </c>
      <c r="D9" s="37">
        <v>1E-07</v>
      </c>
      <c r="E9" s="3">
        <f>IF($B$5&gt;0,IF($B$7&gt;0,AK9,AI9),IF($B$7&gt;0,AJ9,AH9))</f>
        <v>36</v>
      </c>
      <c r="F9" s="39">
        <f aca="true" t="shared" si="0" ref="F9:F33">$B$5*AL9+$B$6*E9+$B$7*AM9</f>
        <v>19123.75</v>
      </c>
      <c r="G9" s="2">
        <f>ABS(F9-$C9)</f>
        <v>19123.75</v>
      </c>
      <c r="H9" s="3">
        <f>IF(G9=MIN(G$9:G$59),D9,0)</f>
        <v>0</v>
      </c>
      <c r="I9" s="21">
        <f>IF($I$8&lt;&gt;" ",I$8-1," ")</f>
        <v>49</v>
      </c>
      <c r="J9" s="3">
        <f>IF(I9&lt;&gt;" ",IF($B$5&gt;0,IF($B$7&gt;0,AQ9,AO9),IF($B$7&gt;0,AP9,AN9))," ")</f>
        <v>36</v>
      </c>
      <c r="K9" s="39">
        <f>IF(J9&lt;&gt;" ",$B$5*AR9+$B$6*J9+$B$7*AS9," ")</f>
        <v>19123.75</v>
      </c>
      <c r="L9" s="39">
        <f>IF(K9&lt;&gt;" ",ABS(K9-$C9)," ")</f>
        <v>19123.75</v>
      </c>
      <c r="M9" s="3">
        <f aca="true" t="shared" si="1" ref="M9:M29">IF(L$9&lt;&gt;" ",IF(L9=MIN(L$9:L$29),I9,0)," ")</f>
        <v>0</v>
      </c>
      <c r="N9" s="3">
        <f>IF(N$8&lt;&gt;" ",N$8-0.1," ")</f>
        <v>50.9</v>
      </c>
      <c r="O9" s="3">
        <f>IF(N9&lt;&gt;" ",IF($B$5&gt;0,IF($B$7&gt;0,AW9,AU9),IF($B$7&gt;0,AV9,AT9))," ")</f>
        <v>36</v>
      </c>
      <c r="P9" s="39">
        <f>IF(O9&lt;&gt;" ",$B$5*AX9+$B$6*O9+$B$7*AY9," ")</f>
        <v>19123.75</v>
      </c>
      <c r="Q9" s="39">
        <f>IF(P9&lt;&gt;" ",ABS(P9-$C9)," ")</f>
        <v>19123.75</v>
      </c>
      <c r="R9" s="3">
        <f>IF(Q$9&lt;&gt;" ",IF(Q9=MIN(Q$9:Q$29),N9,0)," ")</f>
        <v>0</v>
      </c>
      <c r="S9" s="41">
        <f>IF(S$8&lt;&gt;" ",S$8-0.01," ")</f>
        <v>51.09</v>
      </c>
      <c r="T9" s="41">
        <f>IF(S9&lt;&gt;" ",IF($B$5&gt;0,IF($B$7&gt;0,BC9,BA9),IF($B$7&gt;0,BB9,AZ9))," ")</f>
        <v>36</v>
      </c>
      <c r="U9" s="49">
        <f>IF(T9&lt;&gt;" ",$B$5*BD9+$B$6*T9+$B$7*BE9," ")</f>
        <v>19123.75</v>
      </c>
      <c r="V9" s="41">
        <f>IF(U9&lt;&gt;" ",ABS(U9-$C9)," ")</f>
        <v>19123.75</v>
      </c>
      <c r="W9" s="41">
        <f>IF(V$9&lt;&gt;" ",IF(V9=MIN(V$9:V$29),S9,0)," ")</f>
        <v>0</v>
      </c>
      <c r="X9" s="24">
        <f>IF(X$8&lt;&gt;" ",X$8-0.001," ")</f>
        <v>51.109</v>
      </c>
      <c r="Y9" s="24">
        <f>IF(X9&lt;&gt;" ",IF($B$5&gt;0,IF($B$7&gt;0,BI9,BG9),IF($B$7&gt;0,BH9,BF9))," ")</f>
        <v>36</v>
      </c>
      <c r="Z9" s="41">
        <f>IF(Y9&lt;&gt;" ",$B$5*BJ9+$B$6*Y9+$B$7*BK9," ")</f>
        <v>19123.75</v>
      </c>
      <c r="AA9" s="21">
        <f>IF(Z9&lt;&gt;" ",ABS(Z9-$C9)," ")</f>
        <v>19123.75</v>
      </c>
      <c r="AB9" s="24">
        <f>IF(AA$9&lt;&gt;" ",IF(AA9=MIN(AA$9:AA$29),X9,0)," ")</f>
        <v>0</v>
      </c>
      <c r="AC9" s="45">
        <f>IF(AC$8&lt;&gt;" ",AC$8-0.0001," ")</f>
        <v>51.110899999999994</v>
      </c>
      <c r="AD9" s="45">
        <f>IF(AC9&lt;&gt;" ",IF($B$5&gt;0,IF($B$7&gt;0,BO9,BM9),IF($B$7&gt;0,BN9,BL9))," ")</f>
        <v>36</v>
      </c>
      <c r="AE9" s="45">
        <f>IF(AD9&lt;&gt;" ",$B$5*BP9+$B$6*AD9+$B$7*BQ9," ")</f>
        <v>19123.75</v>
      </c>
      <c r="AF9" s="45">
        <f>IF(AE9&lt;&gt;" ",ABS(AE9-$C9)," ")</f>
        <v>19123.75</v>
      </c>
      <c r="AG9" s="45">
        <f>IF(AF$9&lt;&gt;" ",IF(AF9=MIN(AF$9:AF$29),AC9,0)," ")</f>
        <v>0</v>
      </c>
      <c r="AH9" s="31">
        <v>36</v>
      </c>
      <c r="AI9" s="3">
        <v>36</v>
      </c>
      <c r="AJ9" s="3">
        <v>36</v>
      </c>
      <c r="AK9" s="3">
        <v>36</v>
      </c>
      <c r="AL9" s="24">
        <v>1</v>
      </c>
      <c r="AM9" s="28">
        <v>1</v>
      </c>
      <c r="AN9" s="3">
        <v>36</v>
      </c>
      <c r="AO9" s="3">
        <v>36</v>
      </c>
      <c r="AP9" s="3">
        <v>36</v>
      </c>
      <c r="AQ9" s="3">
        <v>36</v>
      </c>
      <c r="AR9" s="24">
        <v>1</v>
      </c>
      <c r="AS9" s="28">
        <v>1</v>
      </c>
      <c r="AT9" s="3">
        <v>36</v>
      </c>
      <c r="AU9" s="3">
        <v>36</v>
      </c>
      <c r="AV9" s="3">
        <v>36</v>
      </c>
      <c r="AW9" s="3">
        <v>36</v>
      </c>
      <c r="AX9" s="24">
        <v>1</v>
      </c>
      <c r="AY9" s="28">
        <v>1</v>
      </c>
      <c r="AZ9" s="41">
        <v>36</v>
      </c>
      <c r="BA9" s="41">
        <v>36</v>
      </c>
      <c r="BB9" s="41">
        <v>36</v>
      </c>
      <c r="BC9" s="41">
        <v>36</v>
      </c>
      <c r="BD9" s="24">
        <v>1</v>
      </c>
      <c r="BE9" s="28">
        <v>1</v>
      </c>
      <c r="BF9" s="24">
        <v>36</v>
      </c>
      <c r="BG9" s="24">
        <v>36</v>
      </c>
      <c r="BH9" s="24">
        <v>36</v>
      </c>
      <c r="BI9" s="24">
        <v>36</v>
      </c>
      <c r="BJ9" s="24">
        <v>1</v>
      </c>
      <c r="BK9" s="28">
        <v>1</v>
      </c>
      <c r="BL9" s="45">
        <v>36</v>
      </c>
      <c r="BM9" s="45">
        <v>36</v>
      </c>
      <c r="BN9" s="45">
        <v>36</v>
      </c>
      <c r="BO9" s="45">
        <v>36</v>
      </c>
      <c r="BP9" s="51">
        <v>1</v>
      </c>
      <c r="BQ9" s="52">
        <v>1</v>
      </c>
    </row>
    <row r="10" spans="1:69" ht="12.75">
      <c r="A10" s="12">
        <f>$A9</f>
        <v>72</v>
      </c>
      <c r="B10" s="11">
        <f>B$9</f>
        <v>460</v>
      </c>
      <c r="C10" s="12">
        <f>C$9</f>
        <v>0</v>
      </c>
      <c r="D10" s="37">
        <v>1</v>
      </c>
      <c r="E10" s="3">
        <f aca="true" t="shared" si="2" ref="E10:E29">IF($B$5&gt;0,IF($B$7&gt;0,AK10,AI10),IF($B$7&gt;0,AJ10,AH10))</f>
        <v>68.92185100231997</v>
      </c>
      <c r="F10" s="39">
        <f t="shared" si="0"/>
        <v>34119.21993295016</v>
      </c>
      <c r="G10" s="2">
        <f aca="true" t="shared" si="3" ref="G10:G59">ABS(F10-$C10)</f>
        <v>34119.21993295016</v>
      </c>
      <c r="H10" s="3">
        <f aca="true" t="shared" si="4" ref="H10:H59">IF(G10=MIN(G$9:G$59),D10,0)</f>
        <v>0</v>
      </c>
      <c r="I10" s="21">
        <f>IF(I$8&lt;&gt;" ",I$8-0.9," ")</f>
        <v>49.1</v>
      </c>
      <c r="J10" s="3">
        <f aca="true" t="shared" si="5" ref="J10:J29">IF(I10&lt;&gt;" ",IF($B$5&gt;0,IF($B$7&gt;0,AQ10,AO10),IF($B$7&gt;0,AP10,AN10))," ")</f>
        <v>26.764178331127283</v>
      </c>
      <c r="K10" s="39">
        <f aca="true" t="shared" si="6" ref="K10:K29">IF(J10&lt;&gt;" ",$B$5*AR10+$B$6*J10+$B$7*AS10," ")</f>
        <v>12544.873110933617</v>
      </c>
      <c r="L10" s="39">
        <f aca="true" t="shared" si="7" ref="L10:L29">IF(K10&lt;&gt;" ",IF(J10&lt;&gt;" ",ABS(K10-$C10)," ")," ")</f>
        <v>12544.873110933617</v>
      </c>
      <c r="M10" s="3">
        <f t="shared" si="1"/>
        <v>0</v>
      </c>
      <c r="N10" s="3">
        <f>IF(N$8&lt;&gt;" ",N$8-0.09," ")</f>
        <v>50.91</v>
      </c>
      <c r="O10" s="3">
        <f aca="true" t="shared" si="8" ref="O10:O29">IF(N10&lt;&gt;" ",IF($B$5&gt;0,IF($B$7&gt;0,AW10,AU10),IF($B$7&gt;0,AV10,AT10))," ")</f>
        <v>26.152117267049757</v>
      </c>
      <c r="P10" s="39">
        <f aca="true" t="shared" si="9" ref="P10:P29">IF(O10&lt;&gt;" ",$B$5*AX10+$B$6*O10+$B$7*AY10," ")</f>
        <v>12247.027825421734</v>
      </c>
      <c r="Q10" s="39">
        <f aca="true" t="shared" si="10" ref="Q10:Q29">IF(P10&lt;&gt;" ",ABS(P10-$C10)," ")</f>
        <v>12247.027825421734</v>
      </c>
      <c r="R10" s="3">
        <f aca="true" t="shared" si="11" ref="R10:R29">IF(Q$9&lt;&gt;" ",IF(Q10=MIN(Q$9:Q$29),N10,0)," ")</f>
        <v>0</v>
      </c>
      <c r="S10" s="41">
        <f>IF(S$8&lt;&gt;" ",S$8-0.009," ")</f>
        <v>51.091</v>
      </c>
      <c r="T10" s="41">
        <f aca="true" t="shared" si="12" ref="T10:T29">IF(S10&lt;&gt;" ",IF($B$5&gt;0,IF($B$7&gt;0,BC10,BA10),IF($B$7&gt;0,BB10,AZ10))," ")</f>
        <v>26.09254756200388</v>
      </c>
      <c r="U10" s="49">
        <f aca="true" t="shared" si="13" ref="U10:U29">IF(T10&lt;&gt;" ",$B$5*BD10+$B$6*T10+$B$7*BE10," ")</f>
        <v>12218.07030321435</v>
      </c>
      <c r="V10" s="41">
        <f aca="true" t="shared" si="14" ref="V10:V29">IF(U10&lt;&gt;" ",ABS(U10-$C10)," ")</f>
        <v>12218.07030321435</v>
      </c>
      <c r="W10" s="41">
        <f aca="true" t="shared" si="15" ref="W10:W29">IF(V$9&lt;&gt;" ",IF(V10=MIN(V$9:V$29),S10,0)," ")</f>
        <v>0</v>
      </c>
      <c r="X10" s="24">
        <f>IF(X$8&lt;&gt;" ",X$8-0.0009," ")</f>
        <v>51.1091</v>
      </c>
      <c r="Y10" s="24">
        <f aca="true" t="shared" si="16" ref="Y10:Y29">IF(X10&lt;&gt;" ",IF($B$5&gt;0,IF($B$7&gt;0,BI10,BG10),IF($B$7&gt;0,BH10,BF10))," ")</f>
        <v>26.08660654808675</v>
      </c>
      <c r="Z10" s="41">
        <f aca="true" t="shared" si="17" ref="Z10:Z29">IF(Y10&lt;&gt;" ",$B$5*BJ10+$B$6*Y10+$B$7*BK10," ")</f>
        <v>12215.182607474495</v>
      </c>
      <c r="AA10" s="24">
        <f aca="true" t="shared" si="18" ref="AA10:AA29">IF(Z10&lt;&gt;" ",ABS(Z10-$C10)," ")</f>
        <v>12215.182607474495</v>
      </c>
      <c r="AB10" s="24">
        <f aca="true" t="shared" si="19" ref="AB10:AB29">IF(AA$9&lt;&gt;" ",IF(AA10=MIN(AA$9:AA$29),X10,0)," ")</f>
        <v>0</v>
      </c>
      <c r="AC10" s="45">
        <f>IF(AC$8&lt;&gt;" ",AC$8-0.00009," ")</f>
        <v>51.11091</v>
      </c>
      <c r="AD10" s="45">
        <f aca="true" t="shared" si="20" ref="AD10:AD29">IF(AC10&lt;&gt;" ",IF($B$5&gt;0,IF($B$7&gt;0,BO10,BM10),IF($B$7&gt;0,BN10,BL10))," ")</f>
        <v>26.08601260586293</v>
      </c>
      <c r="AE10" s="45">
        <f aca="true" t="shared" si="21" ref="AE10:AE29">IF(AD10&lt;&gt;" ",$B$5*BP10+$B$6*AD10+$B$7*BQ10," ")</f>
        <v>12214.893918256861</v>
      </c>
      <c r="AF10" s="45">
        <f aca="true" t="shared" si="22" ref="AF10:AF29">IF(AE10&lt;&gt;" ",ABS(AE10-$C10)," ")</f>
        <v>12214.893918256861</v>
      </c>
      <c r="AG10" s="45">
        <f aca="true" t="shared" si="23" ref="AG10:AG29">IF(AF$9&lt;&gt;" ",IF(AF10=MIN(AF$9:AF$29),AC10,0)," ")</f>
        <v>0</v>
      </c>
      <c r="AH10" s="31">
        <f>(1/((1+D10/100)^($A10/12)))*((1+D10/100)^($A10/12)-1)/((1+D10/100)^(1/12)-1)</f>
        <v>69.86389623757438</v>
      </c>
      <c r="AI10" s="3">
        <f>(1/((1+D10/100)^($A10/12)))*((1+D10/100)^(($A10-1)/12)-1)/((1+D10/100)^(1/12)-1)</f>
        <v>68.86472508812538</v>
      </c>
      <c r="AJ10" s="3">
        <f>(1/((1+D10/100)^(($A10-1)/12)))*((1+D10/100)^(($A10-1)/12)-1)/((1+D10/100)^(1/12)-1)</f>
        <v>68.92185100231997</v>
      </c>
      <c r="AK10" s="3">
        <f>(1/((1+D10/100)^(($A10-1)/12)))*((1+D10/100)^(($A10-2)/12)-1)/((1+D10/100)^(1/12)-1)</f>
        <v>67.92267985287114</v>
      </c>
      <c r="AL10" s="24">
        <f>1/(((100+D10)/100)^(1/12))</f>
        <v>0.9991711494487772</v>
      </c>
      <c r="AM10" s="28">
        <f>1/(((100+D10)/100)^($A10/12))</f>
        <v>0.9420452352542066</v>
      </c>
      <c r="AN10" s="3">
        <f>(1/((1+I10/100)^($A10/12)))*((1+I10/100)^($A10/12)-1)/((1+I10/100)^(1/12)-1)</f>
        <v>26.855197766959588</v>
      </c>
      <c r="AO10" s="3">
        <f>(1/((1+I10/100)^($A10/12)))*((1+I10/100)^(($A10-1)/12)-1)/((1+I10/100)^(1/12)-1)</f>
        <v>25.88793709579282</v>
      </c>
      <c r="AP10" s="3">
        <f>(1/((1+I10/100)^(($A10-1)/12)))*((1+I10/100)^(($A10-1)/12)-1)/((1+I10/100)^(1/12)-1)</f>
        <v>26.764178331127283</v>
      </c>
      <c r="AQ10" s="3">
        <f>(1/((1+I10/100)^(($A10-1)/12)))*((1+I10/100)^(($A10-2)/12)-1)/((1+I10/100)^(1/12)-1)</f>
        <v>25.796917659960528</v>
      </c>
      <c r="AR10" s="24">
        <f>1/(((100+I10)/100)^(1/12))</f>
        <v>0.9672606711667526</v>
      </c>
      <c r="AS10" s="28">
        <f>1/(((100+I10)/100)^($A10/12))</f>
        <v>0.09101943583230344</v>
      </c>
      <c r="AT10" s="3">
        <f>(1/((1+N10/100)^($A10/12)))*((1+N10/100)^($A10/12)-1)/((1+N10/100)^(1/12)-1)</f>
        <v>26.23677992237062</v>
      </c>
      <c r="AU10" s="3">
        <f>(1/((1+N10/100)^($A10/12)))*((1+N10/100)^(($A10-1)/12)-1)/((1+N10/100)^(1/12)-1)</f>
        <v>25.270491376091766</v>
      </c>
      <c r="AV10" s="3">
        <f>(1/((1+N10/100)^(($A10-1)/12)))*((1+N10/100)^(($A10-1)/12)-1)/((1+N10/100)^(1/12)-1)</f>
        <v>26.152117267049757</v>
      </c>
      <c r="AW10" s="3">
        <f>(1/((1+N10/100)^(($A10-1)/12)))*((1+N10/100)^(($A10-2)/12)-1)/((1+N10/100)^(1/12)-1)</f>
        <v>25.18582872077089</v>
      </c>
      <c r="AX10" s="24">
        <f>1/(((100+N10)/100)^(1/12))</f>
        <v>0.966288546278859</v>
      </c>
      <c r="AY10" s="28">
        <f>1/(((100+N10)/100)^($A10/12))</f>
        <v>0.08466265532085664</v>
      </c>
      <c r="AZ10" s="41">
        <f>(1/((1+S10/100)^($A10/12)))*((1+S10/100)^($A10/12)-1)/((1+S10/100)^(1/12)-1)</f>
        <v>26.176603505326185</v>
      </c>
      <c r="BA10" s="41">
        <f>(1/((1+S10/100)^($A10/12)))*((1+S10/100)^(($A10-1)/12)-1)/((1+S10/100)^(1/12)-1)</f>
        <v>25.210411476118956</v>
      </c>
      <c r="BB10" s="41">
        <f>(1/((1+S10/100)^(($A10-1)/12)))*((1+S10/100)^(($A10-1)/12)-1)/((1+S10/100)^(1/12)-1)</f>
        <v>26.09254756200388</v>
      </c>
      <c r="BC10" s="41">
        <f>(1/((1+S10/100)^(($A10-1)/12)))*((1+S10/100)^(($A10-2)/12)-1)/((1+S10/100)^(1/12)-1)</f>
        <v>25.126355532796623</v>
      </c>
      <c r="BD10" s="24">
        <f>1/(((100+S10)/100)^(1/12))</f>
        <v>0.9661920292072398</v>
      </c>
      <c r="BE10" s="28">
        <f>1/(((100+S10)/100)^($A10/12))</f>
        <v>0.08405594332230709</v>
      </c>
      <c r="BF10" s="24">
        <f>(1/((1+X10/100)^($A10/12)))*((1+X10/100)^($A10/12)-1)/((1+X10/100)^(1/12)-1)</f>
        <v>26.170602099663377</v>
      </c>
      <c r="BG10" s="24">
        <f>(1/((1+X10/100)^($A10/12)))*((1+X10/100)^(($A10-1)/12)-1)/((1+X10/100)^(1/12)-1)</f>
        <v>25.20441971527341</v>
      </c>
      <c r="BH10" s="24">
        <f>(1/((1+X10/100)^(($A10-1)/12)))*((1+X10/100)^(($A10-1)/12)-1)/((1+X10/100)^(1/12)-1)</f>
        <v>26.08660654808675</v>
      </c>
      <c r="BI10" s="24">
        <f>(1/((1+X10/100)^(($A10-1)/12)))*((1+X10/100)^(($A10-2)/12)-1)/((1+X10/100)^(1/12)-1)</f>
        <v>25.12042416369678</v>
      </c>
      <c r="BJ10" s="24">
        <f>1/(((100+X10)/100)^(1/12))</f>
        <v>0.966182384389968</v>
      </c>
      <c r="BK10" s="28">
        <f>1/(((100+X10)/100)^($A10/12))</f>
        <v>0.08399555157663181</v>
      </c>
      <c r="BL10" s="45">
        <f>(1/((1+AC10/100)^($A10/12)))*((1+AC10/100)^($A10/12)-1)/((1+AC10/100)^(1/12)-1)</f>
        <v>26.17000212104963</v>
      </c>
      <c r="BM10" s="45">
        <f>(1/((1+AC10/100)^($A10/12)))*((1+AC10/100)^(($A10-1)/12)-1)/((1+AC10/100)^(1/12)-1)</f>
        <v>25.203820701072562</v>
      </c>
      <c r="BN10" s="45">
        <f>(1/((1+AC10/100)^(($A10-1)/12)))*((1+AC10/100)^(($A10-1)/12)-1)/((1+AC10/100)^(1/12)-1)</f>
        <v>26.08601260586293</v>
      </c>
      <c r="BO10" s="45">
        <f>(1/((1+AC10/100)^(($A10-1)/12)))*((1+AC10/100)^(($A10-2)/12)-1)/((1+AC10/100)^(1/12)-1)</f>
        <v>25.119831185885843</v>
      </c>
      <c r="BP10" s="51">
        <f>1/(((100+AC10)/100)^(1/12))</f>
        <v>0.9661814199770763</v>
      </c>
      <c r="BQ10" s="52">
        <f>1/(((100+AC10)/100)^($A10/12))</f>
        <v>0.0839895151867043</v>
      </c>
    </row>
    <row r="11" spans="1:69" ht="12.75">
      <c r="A11" s="12">
        <f aca="true" t="shared" si="24" ref="A11:A59">$A10</f>
        <v>72</v>
      </c>
      <c r="B11" s="11">
        <f aca="true" t="shared" si="25" ref="B11:C59">B$9</f>
        <v>460</v>
      </c>
      <c r="C11" s="12">
        <f t="shared" si="25"/>
        <v>0</v>
      </c>
      <c r="D11" s="37">
        <v>2</v>
      </c>
      <c r="E11" s="3">
        <f t="shared" si="2"/>
        <v>66.94315366358484</v>
      </c>
      <c r="F11" s="39">
        <f t="shared" si="0"/>
        <v>33070.38731632887</v>
      </c>
      <c r="G11" s="2">
        <f t="shared" si="3"/>
        <v>33070.38731632887</v>
      </c>
      <c r="H11" s="3">
        <f t="shared" si="4"/>
        <v>0</v>
      </c>
      <c r="I11" s="21">
        <f>IF(I$8&lt;&gt;" ",I$8-0.8," ")</f>
        <v>49.2</v>
      </c>
      <c r="J11" s="3">
        <f t="shared" si="5"/>
        <v>26.729567706240097</v>
      </c>
      <c r="K11" s="39">
        <f t="shared" si="6"/>
        <v>12528.015385319117</v>
      </c>
      <c r="L11" s="39">
        <f t="shared" si="7"/>
        <v>12528.015385319117</v>
      </c>
      <c r="M11" s="3">
        <f t="shared" si="1"/>
        <v>0</v>
      </c>
      <c r="N11" s="3">
        <f>IF(N$8&lt;&gt;" ",N$8-0.08," ")</f>
        <v>50.92</v>
      </c>
      <c r="O11" s="3">
        <f t="shared" si="8"/>
        <v>26.148818533735326</v>
      </c>
      <c r="P11" s="39">
        <f t="shared" si="9"/>
        <v>12245.424130096579</v>
      </c>
      <c r="Q11" s="39">
        <f t="shared" si="10"/>
        <v>12245.424130096579</v>
      </c>
      <c r="R11" s="3">
        <f t="shared" si="11"/>
        <v>0</v>
      </c>
      <c r="S11" s="41">
        <f>IF(S$8&lt;&gt;" ",S$8-0.008," ")</f>
        <v>51.092</v>
      </c>
      <c r="T11" s="41">
        <f t="shared" si="12"/>
        <v>26.092219253646114</v>
      </c>
      <c r="U11" s="49">
        <f t="shared" si="13"/>
        <v>12217.910723873985</v>
      </c>
      <c r="V11" s="41">
        <f t="shared" si="14"/>
        <v>12217.910723873985</v>
      </c>
      <c r="W11" s="41">
        <f t="shared" si="15"/>
        <v>0</v>
      </c>
      <c r="X11" s="24">
        <f>IF(X$8&lt;&gt;" ",X$8-0.0008," ")</f>
        <v>51.1092</v>
      </c>
      <c r="Y11" s="24">
        <f t="shared" si="16"/>
        <v>26.086573732843988</v>
      </c>
      <c r="Z11" s="41">
        <f t="shared" si="17"/>
        <v>12215.16665741268</v>
      </c>
      <c r="AA11" s="24">
        <f t="shared" si="18"/>
        <v>12215.16665741268</v>
      </c>
      <c r="AB11" s="24">
        <f t="shared" si="19"/>
        <v>0</v>
      </c>
      <c r="AC11" s="45">
        <f>IF(AC$8&lt;&gt;" ",AC$8-0.00008," ")</f>
        <v>51.11092</v>
      </c>
      <c r="AD11" s="45">
        <f t="shared" si="20"/>
        <v>26.086009324494555</v>
      </c>
      <c r="AE11" s="45">
        <f t="shared" si="21"/>
        <v>12214.892323329384</v>
      </c>
      <c r="AF11" s="45">
        <f t="shared" si="22"/>
        <v>12214.892323329384</v>
      </c>
      <c r="AG11" s="45">
        <f t="shared" si="23"/>
        <v>0</v>
      </c>
      <c r="AH11" s="31">
        <f aca="true" t="shared" si="26" ref="AH11:AH29">(1/((1+D11/100)^($A11/12)))*((1+D11/100)^($A11/12)-1)/((1+D11/100)^(1/12)-1)</f>
        <v>67.831125045771</v>
      </c>
      <c r="AI11" s="3">
        <f aca="true" t="shared" si="27" ref="AI11:AI29">(1/((1+D11/100)^($A11/12)))*((1+D11/100)^(($A11-1)/12)-1)/((1+D11/100)^(1/12)-1)</f>
        <v>66.83277390384977</v>
      </c>
      <c r="AJ11" s="3">
        <f aca="true" t="shared" si="28" ref="AJ11:AJ29">(1/((1+D11/100)^(($A11-1)/12)))*((1+D11/100)^(($A11-1)/12)-1)/((1+D11/100)^(1/12)-1)</f>
        <v>66.94315366358484</v>
      </c>
      <c r="AK11" s="3">
        <f aca="true" t="shared" si="29" ref="AK11:AK29">(1/((1+D11/100)^(($A11-1)/12)))*((1+D11/100)^(($A11-2)/12)-1)/((1+D11/100)^(1/12)-1)</f>
        <v>65.94480252166369</v>
      </c>
      <c r="AL11" s="24">
        <f aca="true" t="shared" si="30" ref="AL11:AL29">1/(((100+D11)/100)^(1/12))</f>
        <v>0.9983511419212522</v>
      </c>
      <c r="AM11" s="28">
        <f aca="true" t="shared" si="31" ref="AM11:AM29">1/(((100+D11)/100)^($A11/12))</f>
        <v>0.887971382186192</v>
      </c>
      <c r="AN11" s="3">
        <f aca="true" t="shared" si="32" ref="AN11:AN29">(1/((1+I11/100)^($A11/12)))*((1+I11/100)^($A11/12)-1)/((1+I11/100)^(1/12)-1)</f>
        <v>26.820221724942648</v>
      </c>
      <c r="AO11" s="3">
        <f aca="true" t="shared" si="33" ref="AO11:AO29">(1/((1+I11/100)^($A11/12)))*((1+I11/100)^(($A11-1)/12)-1)/((1+I11/100)^(1/12)-1)</f>
        <v>25.85301509521552</v>
      </c>
      <c r="AP11" s="3">
        <f aca="true" t="shared" si="34" ref="AP11:AP29">(1/((1+I11/100)^(($A11-1)/12)))*((1+I11/100)^(($A11-1)/12)-1)/((1+I11/100)^(1/12)-1)</f>
        <v>26.729567706240097</v>
      </c>
      <c r="AQ11" s="3">
        <f aca="true" t="shared" si="35" ref="AQ11:AQ29">(1/((1+I11/100)^(($A11-1)/12)))*((1+I11/100)^(($A11-2)/12)-1)/((1+I11/100)^(1/12)-1)</f>
        <v>25.762361076512978</v>
      </c>
      <c r="AR11" s="24">
        <f aca="true" t="shared" si="36" ref="AR11:AR29">1/(((100+I11)/100)^(1/12))</f>
        <v>0.9672066297271266</v>
      </c>
      <c r="AS11" s="28">
        <f aca="true" t="shared" si="37" ref="AS11:AS29">1/(((100+I11)/100)^($A11/12))</f>
        <v>0.0906540187025534</v>
      </c>
      <c r="AT11" s="3">
        <f aca="true" t="shared" si="38" ref="AT11:AT29">(1/((1+N11/100)^($A11/12)))*((1+N11/100)^($A11/12)-1)/((1+N11/100)^(1/12)-1)</f>
        <v>26.233447536008686</v>
      </c>
      <c r="AU11" s="3">
        <f aca="true" t="shared" si="39" ref="AU11:AU29">(1/((1+N11/100)^($A11/12)))*((1+N11/100)^(($A11-1)/12)-1)/((1+N11/100)^(1/12)-1)</f>
        <v>25.2671643254369</v>
      </c>
      <c r="AV11" s="3">
        <f aca="true" t="shared" si="40" ref="AV11:AV29">(1/((1+N11/100)^(($A11-1)/12)))*((1+N11/100)^(($A11-1)/12)-1)/((1+N11/100)^(1/12)-1)</f>
        <v>26.148818533735326</v>
      </c>
      <c r="AW11" s="3">
        <f aca="true" t="shared" si="41" ref="AW11:AW29">(1/((1+N11/100)^(($A11-1)/12)))*((1+N11/100)^(($A11-2)/12)-1)/((1+N11/100)^(1/12)-1)</f>
        <v>25.18253532316353</v>
      </c>
      <c r="AX11" s="24">
        <f aca="true" t="shared" si="42" ref="AX11:AX29">1/(((100+N11)/100)^(1/12))</f>
        <v>0.96628321057179</v>
      </c>
      <c r="AY11" s="28">
        <f aca="true" t="shared" si="43" ref="AY11:AY29">1/(((100+N11)/100)^($A11/12))</f>
        <v>0.08462900227336105</v>
      </c>
      <c r="AZ11" s="41">
        <f aca="true" t="shared" si="44" ref="AZ11:AZ29">(1/((1+S11/100)^($A11/12)))*((1+S11/100)^($A11/12)-1)/((1+S11/100)^(1/12)-1)</f>
        <v>26.176271859086103</v>
      </c>
      <c r="BA11" s="41">
        <f aca="true" t="shared" si="45" ref="BA11:BA29">(1/((1+S11/100)^($A11/12)))*((1+S11/100)^(($A11-1)/12)-1)/((1+S11/100)^(1/12)-1)</f>
        <v>25.210080362774352</v>
      </c>
      <c r="BB11" s="41">
        <f aca="true" t="shared" si="46" ref="BB11:BB29">(1/((1+S11/100)^(($A11-1)/12)))*((1+S11/100)^(($A11-1)/12)-1)/((1+S11/100)^(1/12)-1)</f>
        <v>26.092219253646114</v>
      </c>
      <c r="BC11" s="41">
        <f aca="true" t="shared" si="47" ref="BC11:BC29">(1/((1+S11/100)^(($A11-1)/12)))*((1+S11/100)^(($A11-2)/12)-1)/((1+S11/100)^(1/12)-1)</f>
        <v>25.126027757334363</v>
      </c>
      <c r="BD11" s="24">
        <f aca="true" t="shared" si="48" ref="BD11:BD29">1/(((100+S11)/100)^(1/12))</f>
        <v>0.9661914963117412</v>
      </c>
      <c r="BE11" s="28">
        <f aca="true" t="shared" si="49" ref="BE11:BE29">1/(((100+S11)/100)^($A11/12))</f>
        <v>0.08405260543998931</v>
      </c>
      <c r="BF11" s="24">
        <f aca="true" t="shared" si="50" ref="BF11:BF29">(1/((1+X11/100)^($A11/12)))*((1+X11/100)^($A11/12)-1)/((1+X11/100)^(1/12)-1)</f>
        <v>26.1705689509052</v>
      </c>
      <c r="BG11" s="24">
        <f aca="true" t="shared" si="51" ref="BG11:BG29">(1/((1+X11/100)^($A11/12)))*((1+X11/100)^(($A11-1)/12)-1)/((1+X11/100)^(1/12)-1)</f>
        <v>25.20438661979805</v>
      </c>
      <c r="BH11" s="24">
        <f aca="true" t="shared" si="52" ref="BH11:BH29">(1/((1+X11/100)^(($A11-1)/12)))*((1+X11/100)^(($A11-1)/12)-1)/((1+X11/100)^(1/12)-1)</f>
        <v>26.086573732843988</v>
      </c>
      <c r="BI11" s="24">
        <f aca="true" t="shared" si="53" ref="BI11:BI29">(1/((1+X11/100)^(($A11-1)/12)))*((1+X11/100)^(($A11-2)/12)-1)/((1+X11/100)^(1/12)-1)</f>
        <v>25.120391401736832</v>
      </c>
      <c r="BJ11" s="24">
        <f aca="true" t="shared" si="54" ref="BJ11:BJ29">1/(((100+X11)/100)^(1/12))</f>
        <v>0.9661823311071612</v>
      </c>
      <c r="BK11" s="28">
        <f aca="true" t="shared" si="55" ref="BK11:BK29">1/(((100+X11)/100)^($A11/12))</f>
        <v>0.0839952180612168</v>
      </c>
      <c r="BL11" s="45">
        <f aca="true" t="shared" si="56" ref="BL11:BL29">(1/((1+AC11/100)^($A11/12)))*((1+AC11/100)^($A11/12)-1)/((1+AC11/100)^(1/12)-1)</f>
        <v>26.169998806332444</v>
      </c>
      <c r="BM11" s="45">
        <f aca="true" t="shared" si="57" ref="BM11:BM29">(1/((1+AC11/100)^($A11/12)))*((1+AC11/100)^(($A11-1)/12)-1)/((1+AC11/100)^(1/12)-1)</f>
        <v>25.203817391683586</v>
      </c>
      <c r="BN11" s="45">
        <f aca="true" t="shared" si="58" ref="BN11:BN29">(1/((1+AC11/100)^(($A11-1)/12)))*((1+AC11/100)^(($A11-1)/12)-1)/((1+AC11/100)^(1/12)-1)</f>
        <v>26.086009324494555</v>
      </c>
      <c r="BO11" s="45">
        <f aca="true" t="shared" si="59" ref="BO11:BO29">(1/((1+AC11/100)^(($A11-1)/12)))*((1+AC11/100)^(($A11-2)/12)-1)/((1+AC11/100)^(1/12)-1)</f>
        <v>25.119827909845693</v>
      </c>
      <c r="BP11" s="51">
        <f aca="true" t="shared" si="60" ref="BP11:BP29">1/(((100+AC11)/100)^(1/12))</f>
        <v>0.9661814146488631</v>
      </c>
      <c r="BQ11" s="52">
        <f aca="true" t="shared" si="61" ref="BQ11:BQ29">1/(((100+AC11)/100)^($A11/12))</f>
        <v>0.08398948183788958</v>
      </c>
    </row>
    <row r="12" spans="1:69" ht="12.75">
      <c r="A12" s="12">
        <f t="shared" si="24"/>
        <v>72</v>
      </c>
      <c r="B12" s="11">
        <f t="shared" si="25"/>
        <v>460</v>
      </c>
      <c r="C12" s="12">
        <f t="shared" si="25"/>
        <v>0</v>
      </c>
      <c r="D12" s="37">
        <v>3</v>
      </c>
      <c r="E12" s="3">
        <f t="shared" si="2"/>
        <v>65.05787931684125</v>
      </c>
      <c r="F12" s="39">
        <f t="shared" si="0"/>
        <v>32073.724748819695</v>
      </c>
      <c r="G12" s="2">
        <f t="shared" si="3"/>
        <v>32073.724748819695</v>
      </c>
      <c r="H12" s="3">
        <f t="shared" si="4"/>
        <v>0</v>
      </c>
      <c r="I12" s="21">
        <f>IF(I$8&lt;&gt;" ",I$8-0.7," ")</f>
        <v>49.3</v>
      </c>
      <c r="J12" s="3">
        <f t="shared" si="5"/>
        <v>26.695051966907094</v>
      </c>
      <c r="K12" s="39">
        <f t="shared" si="6"/>
        <v>12511.20569211963</v>
      </c>
      <c r="L12" s="39">
        <f t="shared" si="7"/>
        <v>12511.20569211963</v>
      </c>
      <c r="M12" s="3">
        <f t="shared" si="1"/>
        <v>0</v>
      </c>
      <c r="N12" s="3">
        <f>IF(N$8&lt;&gt;" ",N$8-0.07," ")</f>
        <v>50.93</v>
      </c>
      <c r="O12" s="3">
        <f t="shared" si="8"/>
        <v>26.14552068984616</v>
      </c>
      <c r="P12" s="39">
        <f t="shared" si="9"/>
        <v>12243.820883915392</v>
      </c>
      <c r="Q12" s="39">
        <f t="shared" si="10"/>
        <v>12243.820883915392</v>
      </c>
      <c r="R12" s="3">
        <f t="shared" si="11"/>
        <v>0</v>
      </c>
      <c r="S12" s="41">
        <f>IF(S$8&lt;&gt;" ",S$8-0.007," ")</f>
        <v>51.093</v>
      </c>
      <c r="T12" s="41">
        <f t="shared" si="12"/>
        <v>26.091890954125738</v>
      </c>
      <c r="U12" s="49">
        <f t="shared" si="13"/>
        <v>12217.751148995274</v>
      </c>
      <c r="V12" s="41">
        <f t="shared" si="14"/>
        <v>12217.751148995274</v>
      </c>
      <c r="W12" s="41">
        <f t="shared" si="15"/>
        <v>0</v>
      </c>
      <c r="X12" s="24">
        <f>IF(X$8&lt;&gt;" ",X$8-0.0007," ")</f>
        <v>51.1093</v>
      </c>
      <c r="Y12" s="24">
        <f t="shared" si="16"/>
        <v>26.086540917689714</v>
      </c>
      <c r="Z12" s="41">
        <f t="shared" si="17"/>
        <v>12215.150707395529</v>
      </c>
      <c r="AA12" s="24">
        <f t="shared" si="18"/>
        <v>12215.150707395529</v>
      </c>
      <c r="AB12" s="24">
        <f t="shared" si="19"/>
        <v>0</v>
      </c>
      <c r="AC12" s="45">
        <f>IF(AC$8&lt;&gt;" ",AC$8-0.00007," ")</f>
        <v>51.110929999999996</v>
      </c>
      <c r="AD12" s="45">
        <f t="shared" si="20"/>
        <v>26.08600604312697</v>
      </c>
      <c r="AE12" s="45">
        <f t="shared" si="21"/>
        <v>12214.890728402312</v>
      </c>
      <c r="AF12" s="45">
        <f t="shared" si="22"/>
        <v>12214.890728402312</v>
      </c>
      <c r="AG12" s="45">
        <f t="shared" si="23"/>
        <v>0</v>
      </c>
      <c r="AH12" s="31">
        <f t="shared" si="26"/>
        <v>65.89536357352478</v>
      </c>
      <c r="AI12" s="3">
        <f t="shared" si="27"/>
        <v>64.89782377577477</v>
      </c>
      <c r="AJ12" s="3">
        <f t="shared" si="28"/>
        <v>65.05787931684125</v>
      </c>
      <c r="AK12" s="3">
        <f t="shared" si="29"/>
        <v>64.06033951909114</v>
      </c>
      <c r="AL12" s="24">
        <f t="shared" si="30"/>
        <v>0.9975397977501389</v>
      </c>
      <c r="AM12" s="28">
        <f t="shared" si="31"/>
        <v>0.8374842566836544</v>
      </c>
      <c r="AN12" s="3">
        <f t="shared" si="32"/>
        <v>26.785342278888514</v>
      </c>
      <c r="AO12" s="3">
        <f t="shared" si="33"/>
        <v>25.818189651376034</v>
      </c>
      <c r="AP12" s="3">
        <f t="shared" si="34"/>
        <v>26.695051966907094</v>
      </c>
      <c r="AQ12" s="3">
        <f t="shared" si="35"/>
        <v>25.72789933939463</v>
      </c>
      <c r="AR12" s="24">
        <f t="shared" si="36"/>
        <v>0.967152627512467</v>
      </c>
      <c r="AS12" s="28">
        <f t="shared" si="37"/>
        <v>0.09029031198142053</v>
      </c>
      <c r="AT12" s="3">
        <f t="shared" si="38"/>
        <v>26.230116054677424</v>
      </c>
      <c r="AU12" s="3">
        <f t="shared" si="39"/>
        <v>25.2638381794297</v>
      </c>
      <c r="AV12" s="3">
        <f t="shared" si="40"/>
        <v>26.14552068984616</v>
      </c>
      <c r="AW12" s="3">
        <f t="shared" si="41"/>
        <v>25.179242814598435</v>
      </c>
      <c r="AX12" s="24">
        <f t="shared" si="42"/>
        <v>0.9662778752477147</v>
      </c>
      <c r="AY12" s="28">
        <f t="shared" si="43"/>
        <v>0.0845953648312664</v>
      </c>
      <c r="AZ12" s="41">
        <f t="shared" si="44"/>
        <v>26.175940221838044</v>
      </c>
      <c r="BA12" s="41">
        <f t="shared" si="45"/>
        <v>25.20974925841798</v>
      </c>
      <c r="BB12" s="41">
        <f t="shared" si="46"/>
        <v>26.091890954125738</v>
      </c>
      <c r="BC12" s="41">
        <f t="shared" si="47"/>
        <v>25.125699990705666</v>
      </c>
      <c r="BD12" s="24">
        <f t="shared" si="48"/>
        <v>0.9661909634200634</v>
      </c>
      <c r="BE12" s="28">
        <f t="shared" si="49"/>
        <v>0.08404926771230985</v>
      </c>
      <c r="BF12" s="24">
        <f t="shared" si="50"/>
        <v>26.17053580223706</v>
      </c>
      <c r="BG12" s="24">
        <f t="shared" si="51"/>
        <v>25.204353524412678</v>
      </c>
      <c r="BH12" s="24">
        <f t="shared" si="52"/>
        <v>26.086540917689714</v>
      </c>
      <c r="BI12" s="24">
        <f t="shared" si="53"/>
        <v>25.12035863986532</v>
      </c>
      <c r="BJ12" s="24">
        <f t="shared" si="54"/>
        <v>0.9661822778243926</v>
      </c>
      <c r="BK12" s="28">
        <f t="shared" si="55"/>
        <v>0.0839948845473467</v>
      </c>
      <c r="BL12" s="45">
        <f t="shared" si="56"/>
        <v>26.169995491616064</v>
      </c>
      <c r="BM12" s="45">
        <f t="shared" si="57"/>
        <v>25.20381408229542</v>
      </c>
      <c r="BN12" s="45">
        <f t="shared" si="58"/>
        <v>26.08600604312697</v>
      </c>
      <c r="BO12" s="45">
        <f t="shared" si="59"/>
        <v>25.11982463380631</v>
      </c>
      <c r="BP12" s="51">
        <f t="shared" si="60"/>
        <v>0.9661814093206501</v>
      </c>
      <c r="BQ12" s="52">
        <f t="shared" si="61"/>
        <v>0.08398944848909025</v>
      </c>
    </row>
    <row r="13" spans="1:69" ht="12.75">
      <c r="A13" s="12">
        <f t="shared" si="24"/>
        <v>72</v>
      </c>
      <c r="B13" s="11">
        <f t="shared" si="25"/>
        <v>460</v>
      </c>
      <c r="C13" s="12">
        <f t="shared" si="25"/>
        <v>0</v>
      </c>
      <c r="D13" s="37">
        <v>4</v>
      </c>
      <c r="E13" s="3">
        <f t="shared" si="2"/>
        <v>63.260431171905026</v>
      </c>
      <c r="F13" s="39">
        <f t="shared" si="0"/>
        <v>31125.96720441697</v>
      </c>
      <c r="G13" s="2">
        <f t="shared" si="3"/>
        <v>31125.96720441697</v>
      </c>
      <c r="H13" s="3">
        <f t="shared" si="4"/>
        <v>0</v>
      </c>
      <c r="I13" s="21">
        <f>IF(I$8&lt;&gt;" ",I$8-0.6," ")</f>
        <v>49.4</v>
      </c>
      <c r="J13" s="3">
        <f t="shared" si="5"/>
        <v>26.660630754368597</v>
      </c>
      <c r="K13" s="39">
        <f t="shared" si="6"/>
        <v>12494.443842864064</v>
      </c>
      <c r="L13" s="39">
        <f t="shared" si="7"/>
        <v>12494.443842864064</v>
      </c>
      <c r="M13" s="3">
        <f t="shared" si="1"/>
        <v>0</v>
      </c>
      <c r="N13" s="3">
        <f>IF(N$8&lt;&gt;" ",N$8-0.06," ")</f>
        <v>50.94</v>
      </c>
      <c r="O13" s="3">
        <f t="shared" si="8"/>
        <v>26.142223735050706</v>
      </c>
      <c r="P13" s="39">
        <f t="shared" si="9"/>
        <v>12242.218086704459</v>
      </c>
      <c r="Q13" s="39">
        <f t="shared" si="10"/>
        <v>12242.218086704459</v>
      </c>
      <c r="R13" s="3">
        <f t="shared" si="11"/>
        <v>0</v>
      </c>
      <c r="S13" s="41">
        <f>IF(S$8&lt;&gt;" ",S$8-0.006," ")</f>
        <v>51.094</v>
      </c>
      <c r="T13" s="41">
        <f t="shared" si="12"/>
        <v>26.091562663442442</v>
      </c>
      <c r="U13" s="49">
        <f t="shared" si="13"/>
        <v>12217.591578578053</v>
      </c>
      <c r="V13" s="41">
        <f t="shared" si="14"/>
        <v>12217.591578578053</v>
      </c>
      <c r="W13" s="41">
        <f t="shared" si="15"/>
        <v>0</v>
      </c>
      <c r="X13" s="24">
        <f>IF(X$8&lt;&gt;" ",X$8-0.0006," ")</f>
        <v>51.1094</v>
      </c>
      <c r="Y13" s="24">
        <f t="shared" si="16"/>
        <v>26.08650810262377</v>
      </c>
      <c r="Z13" s="41">
        <f t="shared" si="17"/>
        <v>12215.13475742297</v>
      </c>
      <c r="AA13" s="24">
        <f t="shared" si="18"/>
        <v>12215.13475742297</v>
      </c>
      <c r="AB13" s="24">
        <f t="shared" si="19"/>
        <v>0</v>
      </c>
      <c r="AC13" s="45">
        <f>IF(AC$8&lt;&gt;" ",AC$8-0.00006," ")</f>
        <v>51.11094</v>
      </c>
      <c r="AD13" s="45">
        <f t="shared" si="20"/>
        <v>26.086002761760348</v>
      </c>
      <c r="AE13" s="45">
        <f t="shared" si="21"/>
        <v>12214.88913347572</v>
      </c>
      <c r="AF13" s="45">
        <f t="shared" si="22"/>
        <v>12214.88913347572</v>
      </c>
      <c r="AG13" s="45">
        <f t="shared" si="23"/>
        <v>0</v>
      </c>
      <c r="AH13" s="31">
        <f t="shared" si="26"/>
        <v>64.0507456976352</v>
      </c>
      <c r="AI13" s="3">
        <f t="shared" si="27"/>
        <v>63.0540087550166</v>
      </c>
      <c r="AJ13" s="3">
        <f t="shared" si="28"/>
        <v>63.260431171905026</v>
      </c>
      <c r="AK13" s="3">
        <f t="shared" si="29"/>
        <v>62.2636942292865</v>
      </c>
      <c r="AL13" s="24">
        <f t="shared" si="30"/>
        <v>0.9967369426185623</v>
      </c>
      <c r="AM13" s="28">
        <f t="shared" si="31"/>
        <v>0.7903145257301457</v>
      </c>
      <c r="AN13" s="3">
        <f t="shared" si="32"/>
        <v>26.750559060894002</v>
      </c>
      <c r="AO13" s="3">
        <f t="shared" si="33"/>
        <v>25.78346039642595</v>
      </c>
      <c r="AP13" s="3">
        <f t="shared" si="34"/>
        <v>26.660630754368597</v>
      </c>
      <c r="AQ13" s="3">
        <f t="shared" si="35"/>
        <v>25.693532089900526</v>
      </c>
      <c r="AR13" s="24">
        <f t="shared" si="36"/>
        <v>0.9670986644680595</v>
      </c>
      <c r="AS13" s="28">
        <f t="shared" si="37"/>
        <v>0.08992830652540607</v>
      </c>
      <c r="AT13" s="3">
        <f t="shared" si="38"/>
        <v>26.226785478037012</v>
      </c>
      <c r="AU13" s="3">
        <f t="shared" si="39"/>
        <v>25.260512937730443</v>
      </c>
      <c r="AV13" s="3">
        <f t="shared" si="40"/>
        <v>26.142223735050706</v>
      </c>
      <c r="AW13" s="3">
        <f t="shared" si="41"/>
        <v>25.17595119474412</v>
      </c>
      <c r="AX13" s="24">
        <f t="shared" si="42"/>
        <v>0.9662725403065805</v>
      </c>
      <c r="AY13" s="28">
        <f t="shared" si="43"/>
        <v>0.08456174298630298</v>
      </c>
      <c r="AZ13" s="41">
        <f t="shared" si="44"/>
        <v>26.1756085935817</v>
      </c>
      <c r="BA13" s="41">
        <f t="shared" si="45"/>
        <v>25.20941816304949</v>
      </c>
      <c r="BB13" s="41">
        <f t="shared" si="46"/>
        <v>26.091562663442442</v>
      </c>
      <c r="BC13" s="41">
        <f t="shared" si="47"/>
        <v>25.12537223291023</v>
      </c>
      <c r="BD13" s="24">
        <f t="shared" si="48"/>
        <v>0.9661904305322064</v>
      </c>
      <c r="BE13" s="28">
        <f t="shared" si="49"/>
        <v>0.08404593013926082</v>
      </c>
      <c r="BF13" s="24">
        <f t="shared" si="50"/>
        <v>26.170502653658797</v>
      </c>
      <c r="BG13" s="24">
        <f t="shared" si="51"/>
        <v>25.204320429117132</v>
      </c>
      <c r="BH13" s="24">
        <f t="shared" si="52"/>
        <v>26.08650810262377</v>
      </c>
      <c r="BI13" s="24">
        <f t="shared" si="53"/>
        <v>25.120325878082106</v>
      </c>
      <c r="BJ13" s="24">
        <f t="shared" si="54"/>
        <v>0.9661822245416621</v>
      </c>
      <c r="BK13" s="28">
        <f t="shared" si="55"/>
        <v>0.08399455103502146</v>
      </c>
      <c r="BL13" s="45">
        <f t="shared" si="56"/>
        <v>26.169992176900653</v>
      </c>
      <c r="BM13" s="45">
        <f t="shared" si="57"/>
        <v>25.20381077290822</v>
      </c>
      <c r="BN13" s="45">
        <f t="shared" si="58"/>
        <v>26.086002761760348</v>
      </c>
      <c r="BO13" s="45">
        <f t="shared" si="59"/>
        <v>25.119821357767904</v>
      </c>
      <c r="BP13" s="51">
        <f t="shared" si="60"/>
        <v>0.9661814039924376</v>
      </c>
      <c r="BQ13" s="52">
        <f t="shared" si="61"/>
        <v>0.08398941514030638</v>
      </c>
    </row>
    <row r="14" spans="1:69" ht="12.75">
      <c r="A14" s="12">
        <f t="shared" si="24"/>
        <v>72</v>
      </c>
      <c r="B14" s="11">
        <f t="shared" si="25"/>
        <v>460</v>
      </c>
      <c r="C14" s="12">
        <f t="shared" si="25"/>
        <v>0</v>
      </c>
      <c r="D14" s="37">
        <v>5</v>
      </c>
      <c r="E14" s="3">
        <f t="shared" si="2"/>
        <v>61.54560901526427</v>
      </c>
      <c r="F14" s="39">
        <f t="shared" si="0"/>
        <v>30224.089870148717</v>
      </c>
      <c r="G14" s="2">
        <f t="shared" si="3"/>
        <v>30224.089870148717</v>
      </c>
      <c r="H14" s="3">
        <f t="shared" si="4"/>
        <v>0</v>
      </c>
      <c r="I14" s="21">
        <f>IF(I$8&lt;&gt;" ",I$8-0.5," ")</f>
        <v>49.5</v>
      </c>
      <c r="J14" s="3">
        <f t="shared" si="5"/>
        <v>26.626303711545916</v>
      </c>
      <c r="K14" s="39">
        <f t="shared" si="6"/>
        <v>12477.729649995461</v>
      </c>
      <c r="L14" s="39">
        <f t="shared" si="7"/>
        <v>12477.729649995461</v>
      </c>
      <c r="M14" s="3">
        <f t="shared" si="1"/>
        <v>0</v>
      </c>
      <c r="N14" s="3">
        <f>IF(N$8&lt;&gt;" ",N$8-0.05," ")</f>
        <v>50.95</v>
      </c>
      <c r="O14" s="3">
        <f t="shared" si="8"/>
        <v>26.138927669017086</v>
      </c>
      <c r="P14" s="39">
        <f t="shared" si="9"/>
        <v>12240.615738289926</v>
      </c>
      <c r="Q14" s="39">
        <f t="shared" si="10"/>
        <v>12240.615738289926</v>
      </c>
      <c r="R14" s="3">
        <f t="shared" si="11"/>
        <v>0</v>
      </c>
      <c r="S14" s="41">
        <f>IF(S$8&lt;&gt;" ",S$8-0.005," ")</f>
        <v>51.095</v>
      </c>
      <c r="T14" s="41">
        <f t="shared" si="12"/>
        <v>26.091234381595772</v>
      </c>
      <c r="U14" s="49">
        <f t="shared" si="13"/>
        <v>12217.432012622094</v>
      </c>
      <c r="V14" s="41">
        <f t="shared" si="14"/>
        <v>12217.432012622094</v>
      </c>
      <c r="W14" s="41">
        <f t="shared" si="15"/>
        <v>0</v>
      </c>
      <c r="X14" s="24">
        <f>IF(X$8&lt;&gt;" ",X$8-0.0005," ")</f>
        <v>51.1095</v>
      </c>
      <c r="Y14" s="24">
        <f t="shared" si="16"/>
        <v>26.08647528764616</v>
      </c>
      <c r="Z14" s="41">
        <f t="shared" si="17"/>
        <v>12215.118807495006</v>
      </c>
      <c r="AA14" s="24">
        <f t="shared" si="18"/>
        <v>12215.118807495006</v>
      </c>
      <c r="AB14" s="24">
        <f t="shared" si="19"/>
        <v>0</v>
      </c>
      <c r="AC14" s="45">
        <f>IF(AC$8&lt;&gt;" ",AC$8-0.00005," ")</f>
        <v>51.110949999999995</v>
      </c>
      <c r="AD14" s="45">
        <f t="shared" si="20"/>
        <v>26.085999480394676</v>
      </c>
      <c r="AE14" s="45">
        <f t="shared" si="21"/>
        <v>12214.887538549607</v>
      </c>
      <c r="AF14" s="45">
        <f t="shared" si="22"/>
        <v>12214.887538549607</v>
      </c>
      <c r="AG14" s="45">
        <f t="shared" si="23"/>
        <v>0</v>
      </c>
      <c r="AH14" s="31">
        <f t="shared" si="26"/>
        <v>62.29182441190084</v>
      </c>
      <c r="AI14" s="3">
        <f t="shared" si="27"/>
        <v>61.29588200454985</v>
      </c>
      <c r="AJ14" s="3">
        <f t="shared" si="28"/>
        <v>61.54560901526427</v>
      </c>
      <c r="AK14" s="3">
        <f t="shared" si="29"/>
        <v>60.54966660791323</v>
      </c>
      <c r="AL14" s="24">
        <f t="shared" si="30"/>
        <v>0.995942407351067</v>
      </c>
      <c r="AM14" s="28">
        <f t="shared" si="31"/>
        <v>0.7462153966366276</v>
      </c>
      <c r="AN14" s="3">
        <f t="shared" si="32"/>
        <v>26.715871704791876</v>
      </c>
      <c r="AO14" s="3">
        <f t="shared" si="33"/>
        <v>25.748826964252586</v>
      </c>
      <c r="AP14" s="3">
        <f t="shared" si="34"/>
        <v>26.626303711545916</v>
      </c>
      <c r="AQ14" s="3">
        <f t="shared" si="35"/>
        <v>25.659258971006608</v>
      </c>
      <c r="AR14" s="24">
        <f t="shared" si="36"/>
        <v>0.9670447405393021</v>
      </c>
      <c r="AS14" s="28">
        <f t="shared" si="37"/>
        <v>0.08956799324596357</v>
      </c>
      <c r="AT14" s="3">
        <f t="shared" si="38"/>
        <v>26.223455805747296</v>
      </c>
      <c r="AU14" s="3">
        <f t="shared" si="39"/>
        <v>25.257188599998955</v>
      </c>
      <c r="AV14" s="3">
        <f t="shared" si="40"/>
        <v>26.138927669017086</v>
      </c>
      <c r="AW14" s="3">
        <f t="shared" si="41"/>
        <v>25.17266046326875</v>
      </c>
      <c r="AX14" s="24">
        <f t="shared" si="42"/>
        <v>0.9662672057483341</v>
      </c>
      <c r="AY14" s="28">
        <f t="shared" si="43"/>
        <v>0.08452813673020608</v>
      </c>
      <c r="AZ14" s="41">
        <f t="shared" si="44"/>
        <v>26.175276974316606</v>
      </c>
      <c r="BA14" s="41">
        <f t="shared" si="45"/>
        <v>25.20908707666844</v>
      </c>
      <c r="BB14" s="41">
        <f t="shared" si="46"/>
        <v>26.091234381595772</v>
      </c>
      <c r="BC14" s="41">
        <f t="shared" si="47"/>
        <v>25.125044483947594</v>
      </c>
      <c r="BD14" s="24">
        <f t="shared" si="48"/>
        <v>0.9661898976481701</v>
      </c>
      <c r="BE14" s="28">
        <f t="shared" si="49"/>
        <v>0.08404259272083382</v>
      </c>
      <c r="BF14" s="24">
        <f t="shared" si="50"/>
        <v>26.170469505170402</v>
      </c>
      <c r="BG14" s="24">
        <f t="shared" si="51"/>
        <v>25.20428733391143</v>
      </c>
      <c r="BH14" s="24">
        <f t="shared" si="52"/>
        <v>26.08647528764616</v>
      </c>
      <c r="BI14" s="24">
        <f t="shared" si="53"/>
        <v>25.120293116387185</v>
      </c>
      <c r="BJ14" s="24">
        <f t="shared" si="54"/>
        <v>0.96618217125897</v>
      </c>
      <c r="BK14" s="28">
        <f t="shared" si="55"/>
        <v>0.08399421752424119</v>
      </c>
      <c r="BL14" s="45">
        <f t="shared" si="56"/>
        <v>26.16998886218622</v>
      </c>
      <c r="BM14" s="45">
        <f t="shared" si="57"/>
        <v>25.203807463521986</v>
      </c>
      <c r="BN14" s="45">
        <f t="shared" si="58"/>
        <v>26.085999480394676</v>
      </c>
      <c r="BO14" s="45">
        <f t="shared" si="59"/>
        <v>25.119818081730443</v>
      </c>
      <c r="BP14" s="51">
        <f t="shared" si="60"/>
        <v>0.9661813986642256</v>
      </c>
      <c r="BQ14" s="52">
        <f t="shared" si="61"/>
        <v>0.08398938179153796</v>
      </c>
    </row>
    <row r="15" spans="1:69" ht="12.75">
      <c r="A15" s="12">
        <f t="shared" si="24"/>
        <v>72</v>
      </c>
      <c r="B15" s="11">
        <f t="shared" si="25"/>
        <v>460</v>
      </c>
      <c r="C15" s="12">
        <f t="shared" si="25"/>
        <v>0</v>
      </c>
      <c r="D15" s="37">
        <v>6</v>
      </c>
      <c r="E15" s="3">
        <f t="shared" si="2"/>
        <v>59.90857713105451</v>
      </c>
      <c r="F15" s="39">
        <f t="shared" si="0"/>
        <v>29365.288065837296</v>
      </c>
      <c r="G15" s="2">
        <f t="shared" si="3"/>
        <v>29365.288065837296</v>
      </c>
      <c r="H15" s="3">
        <f t="shared" si="4"/>
        <v>0</v>
      </c>
      <c r="I15" s="21">
        <f>IF(I$8&lt;&gt;" ",I$8-0.4," ")</f>
        <v>49.6</v>
      </c>
      <c r="J15" s="3">
        <f t="shared" si="5"/>
        <v>26.592070483031897</v>
      </c>
      <c r="K15" s="39">
        <f t="shared" si="6"/>
        <v>12461.06292686571</v>
      </c>
      <c r="L15" s="39">
        <f t="shared" si="7"/>
        <v>12461.06292686571</v>
      </c>
      <c r="M15" s="3">
        <f t="shared" si="1"/>
        <v>0</v>
      </c>
      <c r="N15" s="3">
        <f>IF(N$8&lt;&gt;" ",N$8-0.04," ")</f>
        <v>50.96</v>
      </c>
      <c r="O15" s="3">
        <f t="shared" si="8"/>
        <v>26.13563249141388</v>
      </c>
      <c r="P15" s="39">
        <f t="shared" si="9"/>
        <v>12239.01383849816</v>
      </c>
      <c r="Q15" s="39">
        <f t="shared" si="10"/>
        <v>12239.01383849816</v>
      </c>
      <c r="R15" s="3">
        <f t="shared" si="11"/>
        <v>0</v>
      </c>
      <c r="S15" s="41">
        <f>IF(S$8&lt;&gt;" ",S$8-0.004," ")</f>
        <v>51.096000000000004</v>
      </c>
      <c r="T15" s="41">
        <f t="shared" si="12"/>
        <v>26.090906108585763</v>
      </c>
      <c r="U15" s="49">
        <f t="shared" si="13"/>
        <v>12217.272451127388</v>
      </c>
      <c r="V15" s="41">
        <f t="shared" si="14"/>
        <v>12217.272451127388</v>
      </c>
      <c r="W15" s="41">
        <f t="shared" si="15"/>
        <v>0</v>
      </c>
      <c r="X15" s="24">
        <f>IF(X$8&lt;&gt;" ",X$8-0.0004," ")</f>
        <v>51.1096</v>
      </c>
      <c r="Y15" s="24">
        <f t="shared" si="16"/>
        <v>26.086442472756872</v>
      </c>
      <c r="Z15" s="41">
        <f t="shared" si="17"/>
        <v>12215.102857611633</v>
      </c>
      <c r="AA15" s="24">
        <f t="shared" si="18"/>
        <v>12215.102857611633</v>
      </c>
      <c r="AB15" s="24">
        <f t="shared" si="19"/>
        <v>0</v>
      </c>
      <c r="AC15" s="45">
        <f>IF(AC$8&lt;&gt;" ",AC$8-0.00004," ")</f>
        <v>51.11096</v>
      </c>
      <c r="AD15" s="45">
        <f t="shared" si="20"/>
        <v>26.0859961990298</v>
      </c>
      <c r="AE15" s="45">
        <f t="shared" si="21"/>
        <v>12214.885943623898</v>
      </c>
      <c r="AF15" s="45">
        <f t="shared" si="22"/>
        <v>12214.885943623898</v>
      </c>
      <c r="AG15" s="45">
        <f t="shared" si="23"/>
        <v>0</v>
      </c>
      <c r="AH15" s="31">
        <f t="shared" si="26"/>
        <v>60.613537671494186</v>
      </c>
      <c r="AI15" s="3">
        <f t="shared" si="27"/>
        <v>59.61838164377948</v>
      </c>
      <c r="AJ15" s="3">
        <f t="shared" si="28"/>
        <v>59.90857713105451</v>
      </c>
      <c r="AK15" s="3">
        <f t="shared" si="29"/>
        <v>58.913421103339815</v>
      </c>
      <c r="AL15" s="24">
        <f t="shared" si="30"/>
        <v>0.9951560277146928</v>
      </c>
      <c r="AM15" s="28">
        <f t="shared" si="31"/>
        <v>0.7049605404396763</v>
      </c>
      <c r="AN15" s="3">
        <f t="shared" si="32"/>
        <v>26.681279846141027</v>
      </c>
      <c r="AO15" s="3">
        <f t="shared" si="33"/>
        <v>25.714288990469328</v>
      </c>
      <c r="AP15" s="3">
        <f t="shared" si="34"/>
        <v>26.592070483031897</v>
      </c>
      <c r="AQ15" s="3">
        <f t="shared" si="35"/>
        <v>25.625079627360183</v>
      </c>
      <c r="AR15" s="24">
        <f t="shared" si="36"/>
        <v>0.9669908556717057</v>
      </c>
      <c r="AS15" s="28">
        <f t="shared" si="37"/>
        <v>0.08920936310913259</v>
      </c>
      <c r="AT15" s="3">
        <f t="shared" si="38"/>
        <v>26.220127037468597</v>
      </c>
      <c r="AU15" s="3">
        <f t="shared" si="39"/>
        <v>25.253865165895665</v>
      </c>
      <c r="AV15" s="3">
        <f t="shared" si="40"/>
        <v>26.13563249141388</v>
      </c>
      <c r="AW15" s="3">
        <f t="shared" si="41"/>
        <v>25.169370619840954</v>
      </c>
      <c r="AX15" s="24">
        <f t="shared" si="42"/>
        <v>0.966261871572923</v>
      </c>
      <c r="AY15" s="28">
        <f t="shared" si="43"/>
        <v>0.08449454605471565</v>
      </c>
      <c r="AZ15" s="41">
        <f t="shared" si="44"/>
        <v>26.17494536404278</v>
      </c>
      <c r="BA15" s="41">
        <f t="shared" si="45"/>
        <v>25.208755999274835</v>
      </c>
      <c r="BB15" s="41">
        <f t="shared" si="46"/>
        <v>26.090906108585763</v>
      </c>
      <c r="BC15" s="41">
        <f t="shared" si="47"/>
        <v>25.1247167438178</v>
      </c>
      <c r="BD15" s="24">
        <f t="shared" si="48"/>
        <v>0.9661893647679548</v>
      </c>
      <c r="BE15" s="28">
        <f t="shared" si="49"/>
        <v>0.08403925545702073</v>
      </c>
      <c r="BF15" s="24">
        <f t="shared" si="50"/>
        <v>26.17043635677188</v>
      </c>
      <c r="BG15" s="24">
        <f t="shared" si="51"/>
        <v>25.20425423879556</v>
      </c>
      <c r="BH15" s="24">
        <f t="shared" si="52"/>
        <v>26.086442472756872</v>
      </c>
      <c r="BI15" s="24">
        <f t="shared" si="53"/>
        <v>25.12026035478054</v>
      </c>
      <c r="BJ15" s="24">
        <f t="shared" si="54"/>
        <v>0.966182117976316</v>
      </c>
      <c r="BK15" s="28">
        <f t="shared" si="55"/>
        <v>0.08399388401500596</v>
      </c>
      <c r="BL15" s="45">
        <f t="shared" si="56"/>
        <v>26.169985547472585</v>
      </c>
      <c r="BM15" s="45">
        <f t="shared" si="57"/>
        <v>25.20380415413657</v>
      </c>
      <c r="BN15" s="45">
        <f t="shared" si="58"/>
        <v>26.0859961990298</v>
      </c>
      <c r="BO15" s="45">
        <f t="shared" si="59"/>
        <v>25.11981480569377</v>
      </c>
      <c r="BP15" s="51">
        <f t="shared" si="60"/>
        <v>0.9661813933360137</v>
      </c>
      <c r="BQ15" s="52">
        <f t="shared" si="61"/>
        <v>0.08398934844278498</v>
      </c>
    </row>
    <row r="16" spans="1:69" ht="12.75">
      <c r="A16" s="12">
        <f t="shared" si="24"/>
        <v>72</v>
      </c>
      <c r="B16" s="11">
        <f t="shared" si="25"/>
        <v>460</v>
      </c>
      <c r="C16" s="12">
        <f t="shared" si="25"/>
        <v>0</v>
      </c>
      <c r="D16" s="37">
        <v>7</v>
      </c>
      <c r="E16" s="3">
        <f t="shared" si="2"/>
        <v>58.344835119928014</v>
      </c>
      <c r="F16" s="39">
        <f t="shared" si="0"/>
        <v>28546.959031476472</v>
      </c>
      <c r="G16" s="2">
        <f t="shared" si="3"/>
        <v>28546.959031476472</v>
      </c>
      <c r="H16" s="3">
        <f t="shared" si="4"/>
        <v>0</v>
      </c>
      <c r="I16" s="21">
        <f>IF(I$8&lt;&gt;" ",I$8-0.3," ")</f>
        <v>49.7</v>
      </c>
      <c r="J16" s="3">
        <f t="shared" si="5"/>
        <v>26.5579307150814</v>
      </c>
      <c r="K16" s="39">
        <f t="shared" si="6"/>
        <v>12444.443487730246</v>
      </c>
      <c r="L16" s="39">
        <f t="shared" si="7"/>
        <v>12444.443487730246</v>
      </c>
      <c r="M16" s="3">
        <f t="shared" si="1"/>
        <v>0</v>
      </c>
      <c r="N16" s="3">
        <f>IF(N$8&lt;&gt;" ",N$8-0.03," ")</f>
        <v>50.97</v>
      </c>
      <c r="O16" s="3">
        <f t="shared" si="8"/>
        <v>26.132338201909985</v>
      </c>
      <c r="P16" s="39">
        <f t="shared" si="9"/>
        <v>12237.412387155699</v>
      </c>
      <c r="Q16" s="39">
        <f t="shared" si="10"/>
        <v>12237.412387155699</v>
      </c>
      <c r="R16" s="3">
        <f t="shared" si="11"/>
        <v>0</v>
      </c>
      <c r="S16" s="41">
        <f>IF(S$8&lt;&gt;" ",S$8-0.003," ")</f>
        <v>51.097</v>
      </c>
      <c r="T16" s="41">
        <f t="shared" si="12"/>
        <v>26.090577844411616</v>
      </c>
      <c r="U16" s="49">
        <f t="shared" si="13"/>
        <v>12217.112894093549</v>
      </c>
      <c r="V16" s="41">
        <f t="shared" si="14"/>
        <v>12217.112894093549</v>
      </c>
      <c r="W16" s="41">
        <f t="shared" si="15"/>
        <v>0</v>
      </c>
      <c r="X16" s="24">
        <f>IF(X$8&lt;&gt;" ",X$8-0.0003," ")</f>
        <v>51.1097</v>
      </c>
      <c r="Y16" s="24">
        <f t="shared" si="16"/>
        <v>26.086409657955745</v>
      </c>
      <c r="Z16" s="41">
        <f t="shared" si="17"/>
        <v>12215.086907772773</v>
      </c>
      <c r="AA16" s="24">
        <f t="shared" si="18"/>
        <v>12215.086907772773</v>
      </c>
      <c r="AB16" s="24">
        <f t="shared" si="19"/>
        <v>0</v>
      </c>
      <c r="AC16" s="45">
        <f>IF(AC$8&lt;&gt;" ",AC$8-0.00003," ")</f>
        <v>51.110969999999995</v>
      </c>
      <c r="AD16" s="45">
        <f t="shared" si="20"/>
        <v>26.085992917665877</v>
      </c>
      <c r="AE16" s="45">
        <f t="shared" si="21"/>
        <v>12214.884348698668</v>
      </c>
      <c r="AF16" s="45">
        <f t="shared" si="22"/>
        <v>12214.884348698668</v>
      </c>
      <c r="AG16" s="45">
        <f t="shared" si="23"/>
        <v>0</v>
      </c>
      <c r="AH16" s="31">
        <f t="shared" si="26"/>
        <v>59.011177343744485</v>
      </c>
      <c r="AI16" s="3">
        <f t="shared" si="27"/>
        <v>58.016799699515</v>
      </c>
      <c r="AJ16" s="3">
        <f t="shared" si="28"/>
        <v>58.344835119928014</v>
      </c>
      <c r="AK16" s="3">
        <f t="shared" si="29"/>
        <v>57.35045747569845</v>
      </c>
      <c r="AL16" s="24">
        <f t="shared" si="30"/>
        <v>0.9943776442295407</v>
      </c>
      <c r="AM16" s="28">
        <f t="shared" si="31"/>
        <v>0.6663422238165125</v>
      </c>
      <c r="AN16" s="3">
        <f t="shared" si="32"/>
        <v>26.646783122216576</v>
      </c>
      <c r="AO16" s="3">
        <f t="shared" si="33"/>
        <v>25.679846112405674</v>
      </c>
      <c r="AP16" s="3">
        <f t="shared" si="34"/>
        <v>26.5579307150814</v>
      </c>
      <c r="AQ16" s="3">
        <f t="shared" si="35"/>
        <v>25.5909937052705</v>
      </c>
      <c r="AR16" s="24">
        <f t="shared" si="36"/>
        <v>0.966937009810893</v>
      </c>
      <c r="AS16" s="28">
        <f t="shared" si="37"/>
        <v>0.08885240713517426</v>
      </c>
      <c r="AT16" s="3">
        <f t="shared" si="38"/>
        <v>26.216799172861563</v>
      </c>
      <c r="AU16" s="3">
        <f t="shared" si="39"/>
        <v>25.250542635081263</v>
      </c>
      <c r="AV16" s="3">
        <f t="shared" si="40"/>
        <v>26.132338201909985</v>
      </c>
      <c r="AW16" s="3">
        <f t="shared" si="41"/>
        <v>25.16608166412968</v>
      </c>
      <c r="AX16" s="24">
        <f t="shared" si="42"/>
        <v>0.9662565377802944</v>
      </c>
      <c r="AY16" s="28">
        <f t="shared" si="43"/>
        <v>0.08446097095157704</v>
      </c>
      <c r="AZ16" s="41">
        <f t="shared" si="44"/>
        <v>26.174613762759428</v>
      </c>
      <c r="BA16" s="41">
        <f t="shared" si="45"/>
        <v>25.20842493086787</v>
      </c>
      <c r="BB16" s="41">
        <f t="shared" si="46"/>
        <v>26.090577844411616</v>
      </c>
      <c r="BC16" s="41">
        <f t="shared" si="47"/>
        <v>25.12438901252005</v>
      </c>
      <c r="BD16" s="24">
        <f t="shared" si="48"/>
        <v>0.9661888318915598</v>
      </c>
      <c r="BE16" s="28">
        <f t="shared" si="49"/>
        <v>0.08403591834781335</v>
      </c>
      <c r="BF16" s="24">
        <f t="shared" si="50"/>
        <v>26.17040320846306</v>
      </c>
      <c r="BG16" s="24">
        <f t="shared" si="51"/>
        <v>25.204221143769374</v>
      </c>
      <c r="BH16" s="24">
        <f t="shared" si="52"/>
        <v>26.086409657955745</v>
      </c>
      <c r="BI16" s="24">
        <f t="shared" si="53"/>
        <v>25.12022759326203</v>
      </c>
      <c r="BJ16" s="24">
        <f t="shared" si="54"/>
        <v>0.9661820646937</v>
      </c>
      <c r="BK16" s="28">
        <f t="shared" si="55"/>
        <v>0.08399355050731559</v>
      </c>
      <c r="BL16" s="45">
        <f t="shared" si="56"/>
        <v>26.16998223275992</v>
      </c>
      <c r="BM16" s="45">
        <f t="shared" si="57"/>
        <v>25.203800844752116</v>
      </c>
      <c r="BN16" s="45">
        <f t="shared" si="58"/>
        <v>26.085992917665877</v>
      </c>
      <c r="BO16" s="45">
        <f t="shared" si="59"/>
        <v>25.11981152965807</v>
      </c>
      <c r="BP16" s="51">
        <f t="shared" si="60"/>
        <v>0.9661813880078025</v>
      </c>
      <c r="BQ16" s="52">
        <f t="shared" si="61"/>
        <v>0.0839893150940475</v>
      </c>
    </row>
    <row r="17" spans="1:69" ht="12.75">
      <c r="A17" s="12">
        <f t="shared" si="24"/>
        <v>72</v>
      </c>
      <c r="B17" s="11">
        <f t="shared" si="25"/>
        <v>460</v>
      </c>
      <c r="C17" s="12">
        <f t="shared" si="25"/>
        <v>0</v>
      </c>
      <c r="D17" s="37">
        <v>8</v>
      </c>
      <c r="E17" s="3">
        <f t="shared" si="2"/>
        <v>56.85019132789308</v>
      </c>
      <c r="F17" s="39">
        <f t="shared" si="0"/>
        <v>27766.685391752377</v>
      </c>
      <c r="G17" s="2">
        <f t="shared" si="3"/>
        <v>27766.685391752377</v>
      </c>
      <c r="H17" s="3">
        <f t="shared" si="4"/>
        <v>0</v>
      </c>
      <c r="I17" s="21">
        <f>IF(I$8&lt;&gt;" ",I$8-0.2," ")</f>
        <v>49.8</v>
      </c>
      <c r="J17" s="3">
        <f t="shared" si="5"/>
        <v>26.523884055603155</v>
      </c>
      <c r="K17" s="39">
        <f t="shared" si="6"/>
        <v>12427.871147743363</v>
      </c>
      <c r="L17" s="39">
        <f t="shared" si="7"/>
        <v>12427.871147743363</v>
      </c>
      <c r="M17" s="3">
        <f t="shared" si="1"/>
        <v>0</v>
      </c>
      <c r="N17" s="3">
        <f>IF(N$8&lt;&gt;" ",N$8-0.02," ")</f>
        <v>50.98</v>
      </c>
      <c r="O17" s="3">
        <f t="shared" si="8"/>
        <v>26.12904480017395</v>
      </c>
      <c r="P17" s="39">
        <f t="shared" si="9"/>
        <v>12235.811384088916</v>
      </c>
      <c r="Q17" s="39">
        <f t="shared" si="10"/>
        <v>12235.811384088916</v>
      </c>
      <c r="R17" s="3">
        <f t="shared" si="11"/>
        <v>0</v>
      </c>
      <c r="S17" s="41">
        <f>IF(S$8&lt;&gt;" ",S$8-0.002," ")</f>
        <v>51.098</v>
      </c>
      <c r="T17" s="41">
        <f t="shared" si="12"/>
        <v>26.090249589073373</v>
      </c>
      <c r="U17" s="49">
        <f t="shared" si="13"/>
        <v>12216.953341520577</v>
      </c>
      <c r="V17" s="41">
        <f t="shared" si="14"/>
        <v>12216.953341520577</v>
      </c>
      <c r="W17" s="41">
        <f t="shared" si="15"/>
        <v>0</v>
      </c>
      <c r="X17" s="24">
        <f>IF(X$8&lt;&gt;" ",X$8-0.0002," ")</f>
        <v>51.1098</v>
      </c>
      <c r="Y17" s="24">
        <f t="shared" si="16"/>
        <v>26.08637684324311</v>
      </c>
      <c r="Z17" s="41">
        <f t="shared" si="17"/>
        <v>12215.07095797858</v>
      </c>
      <c r="AA17" s="24">
        <f t="shared" si="18"/>
        <v>12215.07095797858</v>
      </c>
      <c r="AB17" s="24">
        <f t="shared" si="19"/>
        <v>0</v>
      </c>
      <c r="AC17" s="45">
        <f>IF(AC$8&lt;&gt;" ",AC$8-0.00002," ")</f>
        <v>51.11098</v>
      </c>
      <c r="AD17" s="45">
        <f t="shared" si="20"/>
        <v>26.085989636302745</v>
      </c>
      <c r="AE17" s="45">
        <f t="shared" si="21"/>
        <v>12214.88275377384</v>
      </c>
      <c r="AF17" s="45">
        <f t="shared" si="22"/>
        <v>12214.88275377384</v>
      </c>
      <c r="AG17" s="45">
        <f t="shared" si="23"/>
        <v>0</v>
      </c>
      <c r="AH17" s="31">
        <f t="shared" si="26"/>
        <v>57.480360954776174</v>
      </c>
      <c r="AI17" s="3">
        <f t="shared" si="27"/>
        <v>56.48675385278789</v>
      </c>
      <c r="AJ17" s="3">
        <f t="shared" si="28"/>
        <v>56.85019132789308</v>
      </c>
      <c r="AK17" s="3">
        <f t="shared" si="29"/>
        <v>55.85658422590476</v>
      </c>
      <c r="AL17" s="24">
        <f t="shared" si="30"/>
        <v>0.993607101988294</v>
      </c>
      <c r="AM17" s="28">
        <f t="shared" si="31"/>
        <v>0.6301696268831045</v>
      </c>
      <c r="AN17" s="3">
        <f t="shared" si="32"/>
        <v>26.61238117200136</v>
      </c>
      <c r="AO17" s="3">
        <f t="shared" si="33"/>
        <v>25.64549796909877</v>
      </c>
      <c r="AP17" s="3">
        <f t="shared" si="34"/>
        <v>26.523884055603155</v>
      </c>
      <c r="AQ17" s="3">
        <f t="shared" si="35"/>
        <v>25.557000852700554</v>
      </c>
      <c r="AR17" s="24">
        <f t="shared" si="36"/>
        <v>0.9668832029025993</v>
      </c>
      <c r="AS17" s="28">
        <f t="shared" si="37"/>
        <v>0.08849711639820991</v>
      </c>
      <c r="AT17" s="3">
        <f t="shared" si="38"/>
        <v>26.213472211586488</v>
      </c>
      <c r="AU17" s="3">
        <f t="shared" si="39"/>
        <v>25.247221007216112</v>
      </c>
      <c r="AV17" s="3">
        <f t="shared" si="40"/>
        <v>26.12904480017395</v>
      </c>
      <c r="AW17" s="3">
        <f t="shared" si="41"/>
        <v>25.162793595803546</v>
      </c>
      <c r="AX17" s="24">
        <f t="shared" si="42"/>
        <v>0.9662512043703954</v>
      </c>
      <c r="AY17" s="28">
        <f t="shared" si="43"/>
        <v>0.08442741141254029</v>
      </c>
      <c r="AZ17" s="41">
        <f t="shared" si="44"/>
        <v>26.174282170466576</v>
      </c>
      <c r="BA17" s="41">
        <f t="shared" si="45"/>
        <v>25.20809387144759</v>
      </c>
      <c r="BB17" s="41">
        <f t="shared" si="46"/>
        <v>26.090249589073373</v>
      </c>
      <c r="BC17" s="41">
        <f t="shared" si="47"/>
        <v>25.12406129005438</v>
      </c>
      <c r="BD17" s="24">
        <f t="shared" si="48"/>
        <v>0.9661882990189856</v>
      </c>
      <c r="BE17" s="28">
        <f t="shared" si="49"/>
        <v>0.0840325813932035</v>
      </c>
      <c r="BF17" s="24">
        <f t="shared" si="50"/>
        <v>26.170370060244284</v>
      </c>
      <c r="BG17" s="24">
        <f t="shared" si="51"/>
        <v>25.20418804883316</v>
      </c>
      <c r="BH17" s="24">
        <f t="shared" si="52"/>
        <v>26.08637684324311</v>
      </c>
      <c r="BI17" s="24">
        <f t="shared" si="53"/>
        <v>25.120194831831988</v>
      </c>
      <c r="BJ17" s="24">
        <f t="shared" si="54"/>
        <v>0.9661820114111226</v>
      </c>
      <c r="BK17" s="28">
        <f t="shared" si="55"/>
        <v>0.08399321700117023</v>
      </c>
      <c r="BL17" s="45">
        <f t="shared" si="56"/>
        <v>26.16997891804807</v>
      </c>
      <c r="BM17" s="45">
        <f t="shared" si="57"/>
        <v>25.20379753536849</v>
      </c>
      <c r="BN17" s="45">
        <f t="shared" si="58"/>
        <v>26.085989636302745</v>
      </c>
      <c r="BO17" s="45">
        <f t="shared" si="59"/>
        <v>25.119808253623145</v>
      </c>
      <c r="BP17" s="51">
        <f t="shared" si="60"/>
        <v>0.9661813826795914</v>
      </c>
      <c r="BQ17" s="52">
        <f t="shared" si="61"/>
        <v>0.08398928174532554</v>
      </c>
    </row>
    <row r="18" spans="1:69" ht="12.75">
      <c r="A18" s="12">
        <f t="shared" si="24"/>
        <v>72</v>
      </c>
      <c r="B18" s="11">
        <f t="shared" si="25"/>
        <v>460</v>
      </c>
      <c r="C18" s="12">
        <f t="shared" si="25"/>
        <v>0</v>
      </c>
      <c r="D18" s="37">
        <v>9</v>
      </c>
      <c r="E18" s="3">
        <f t="shared" si="2"/>
        <v>55.42073862827945</v>
      </c>
      <c r="F18" s="39">
        <f t="shared" si="0"/>
        <v>27022.22012829514</v>
      </c>
      <c r="G18" s="2">
        <f t="shared" si="3"/>
        <v>27022.22012829514</v>
      </c>
      <c r="H18" s="3">
        <f t="shared" si="4"/>
        <v>0</v>
      </c>
      <c r="I18" s="21">
        <f>IF(I$8&lt;&gt;" ",I$8-0.1," ")</f>
        <v>49.9</v>
      </c>
      <c r="J18" s="3">
        <f t="shared" si="5"/>
        <v>26.489930154149324</v>
      </c>
      <c r="K18" s="39">
        <f t="shared" si="6"/>
        <v>12411.345722952496</v>
      </c>
      <c r="L18" s="39">
        <f t="shared" si="7"/>
        <v>12411.345722952496</v>
      </c>
      <c r="M18" s="3">
        <f t="shared" si="1"/>
        <v>0</v>
      </c>
      <c r="N18" s="3">
        <f>IF(N$8&lt;&gt;" ",N$8-0.01," ")</f>
        <v>50.99</v>
      </c>
      <c r="O18" s="3">
        <f t="shared" si="8"/>
        <v>26.125752285874807</v>
      </c>
      <c r="P18" s="39">
        <f t="shared" si="9"/>
        <v>12234.210829124433</v>
      </c>
      <c r="Q18" s="39">
        <f t="shared" si="10"/>
        <v>12234.210829124433</v>
      </c>
      <c r="R18" s="3">
        <f t="shared" si="11"/>
        <v>0</v>
      </c>
      <c r="S18" s="41">
        <f>IF(S$8&lt;&gt;" ",S$8-0.001," ")</f>
        <v>51.099000000000004</v>
      </c>
      <c r="T18" s="41">
        <f t="shared" si="12"/>
        <v>26.089921342570406</v>
      </c>
      <c r="U18" s="49">
        <f t="shared" si="13"/>
        <v>12216.79379340816</v>
      </c>
      <c r="V18" s="41">
        <f t="shared" si="14"/>
        <v>12216.79379340816</v>
      </c>
      <c r="W18" s="41">
        <f t="shared" si="15"/>
        <v>0</v>
      </c>
      <c r="X18" s="24">
        <f>IF(X$8&lt;&gt;" ",X$8-0.0001," ")</f>
        <v>51.109899999999996</v>
      </c>
      <c r="Y18" s="24">
        <f t="shared" si="16"/>
        <v>26.086344028618804</v>
      </c>
      <c r="Z18" s="41">
        <f t="shared" si="17"/>
        <v>12215.055008228981</v>
      </c>
      <c r="AA18" s="24">
        <f t="shared" si="18"/>
        <v>12215.055008228981</v>
      </c>
      <c r="AB18" s="24">
        <f t="shared" si="19"/>
        <v>0</v>
      </c>
      <c r="AC18" s="45">
        <f>IF(AC$8&lt;&gt;" ",AC$8-0.00001," ")</f>
        <v>51.110989999999994</v>
      </c>
      <c r="AD18" s="45">
        <f t="shared" si="20"/>
        <v>26.085986354940566</v>
      </c>
      <c r="AE18" s="45">
        <f t="shared" si="21"/>
        <v>12214.881158849492</v>
      </c>
      <c r="AF18" s="45">
        <f t="shared" si="22"/>
        <v>12214.881158849492</v>
      </c>
      <c r="AG18" s="45">
        <f t="shared" si="23"/>
        <v>0</v>
      </c>
      <c r="AH18" s="31">
        <f t="shared" si="26"/>
        <v>56.017005955158645</v>
      </c>
      <c r="AI18" s="3">
        <f t="shared" si="27"/>
        <v>55.024161704674476</v>
      </c>
      <c r="AJ18" s="3">
        <f t="shared" si="28"/>
        <v>55.42073862827945</v>
      </c>
      <c r="AK18" s="3">
        <f t="shared" si="29"/>
        <v>54.427894377795255</v>
      </c>
      <c r="AL18" s="24">
        <f t="shared" si="30"/>
        <v>0.992844250484193</v>
      </c>
      <c r="AM18" s="28">
        <f t="shared" si="31"/>
        <v>0.5962673268792158</v>
      </c>
      <c r="AN18" s="3">
        <f t="shared" si="32"/>
        <v>26.578073636175187</v>
      </c>
      <c r="AO18" s="3">
        <f t="shared" si="33"/>
        <v>25.611244201282524</v>
      </c>
      <c r="AP18" s="3">
        <f t="shared" si="34"/>
        <v>26.489930154149324</v>
      </c>
      <c r="AQ18" s="3">
        <f t="shared" si="35"/>
        <v>25.523100719256643</v>
      </c>
      <c r="AR18" s="24">
        <f t="shared" si="36"/>
        <v>0.966829434892671</v>
      </c>
      <c r="AS18" s="28">
        <f t="shared" si="37"/>
        <v>0.08814348202586315</v>
      </c>
      <c r="AT18" s="3">
        <f t="shared" si="38"/>
        <v>26.210146153304173</v>
      </c>
      <c r="AU18" s="3">
        <f t="shared" si="39"/>
        <v>25.24390028196101</v>
      </c>
      <c r="AV18" s="3">
        <f t="shared" si="40"/>
        <v>26.125752285874807</v>
      </c>
      <c r="AW18" s="3">
        <f t="shared" si="41"/>
        <v>25.159506414531627</v>
      </c>
      <c r="AX18" s="24">
        <f t="shared" si="42"/>
        <v>0.9662458713431729</v>
      </c>
      <c r="AY18" s="28">
        <f t="shared" si="43"/>
        <v>0.08439386742936006</v>
      </c>
      <c r="AZ18" s="41">
        <f t="shared" si="44"/>
        <v>26.173950587163585</v>
      </c>
      <c r="BA18" s="41">
        <f t="shared" si="45"/>
        <v>25.207762821013365</v>
      </c>
      <c r="BB18" s="41">
        <f t="shared" si="46"/>
        <v>26.089921342570406</v>
      </c>
      <c r="BC18" s="41">
        <f t="shared" si="47"/>
        <v>25.123733576420165</v>
      </c>
      <c r="BD18" s="24">
        <f t="shared" si="48"/>
        <v>0.9661877661502318</v>
      </c>
      <c r="BE18" s="28">
        <f t="shared" si="49"/>
        <v>0.08402924459318316</v>
      </c>
      <c r="BF18" s="24">
        <f t="shared" si="50"/>
        <v>26.17033691211537</v>
      </c>
      <c r="BG18" s="24">
        <f t="shared" si="51"/>
        <v>25.20415495398678</v>
      </c>
      <c r="BH18" s="24">
        <f t="shared" si="52"/>
        <v>26.086344028618804</v>
      </c>
      <c r="BI18" s="24">
        <f t="shared" si="53"/>
        <v>25.120162070490206</v>
      </c>
      <c r="BJ18" s="24">
        <f t="shared" si="54"/>
        <v>0.9661819581285832</v>
      </c>
      <c r="BK18" s="28">
        <f t="shared" si="55"/>
        <v>0.08399288349656989</v>
      </c>
      <c r="BL18" s="45">
        <f t="shared" si="56"/>
        <v>26.16997560333719</v>
      </c>
      <c r="BM18" s="45">
        <f t="shared" si="57"/>
        <v>25.203794225985813</v>
      </c>
      <c r="BN18" s="45">
        <f t="shared" si="58"/>
        <v>26.085986354940566</v>
      </c>
      <c r="BO18" s="45">
        <f t="shared" si="59"/>
        <v>25.119804977589173</v>
      </c>
      <c r="BP18" s="51">
        <f t="shared" si="60"/>
        <v>0.9661813773513809</v>
      </c>
      <c r="BQ18" s="52">
        <f t="shared" si="61"/>
        <v>0.08398924839661888</v>
      </c>
    </row>
    <row r="19" spans="1:69" ht="12.75">
      <c r="A19" s="12">
        <f t="shared" si="24"/>
        <v>72</v>
      </c>
      <c r="B19" s="11">
        <f t="shared" si="25"/>
        <v>460</v>
      </c>
      <c r="C19" s="12">
        <f t="shared" si="25"/>
        <v>0</v>
      </c>
      <c r="D19" s="37">
        <v>10</v>
      </c>
      <c r="E19" s="3">
        <f t="shared" si="2"/>
        <v>54.05283232750561</v>
      </c>
      <c r="F19" s="39">
        <f t="shared" si="0"/>
        <v>26311.472908827953</v>
      </c>
      <c r="G19" s="2">
        <f t="shared" si="3"/>
        <v>26311.472908827953</v>
      </c>
      <c r="H19" s="3">
        <f t="shared" si="4"/>
        <v>0</v>
      </c>
      <c r="I19" s="21">
        <f>IF(I$8&lt;&gt;" ",I$8+0.000000001," ")</f>
        <v>50.000000001</v>
      </c>
      <c r="J19" s="3">
        <f t="shared" si="5"/>
        <v>26.456068661569645</v>
      </c>
      <c r="K19" s="39">
        <f t="shared" si="6"/>
        <v>12394.86703012922</v>
      </c>
      <c r="L19" s="39">
        <f t="shared" si="7"/>
        <v>12394.86703012922</v>
      </c>
      <c r="M19" s="3">
        <f t="shared" si="1"/>
        <v>0</v>
      </c>
      <c r="N19" s="3">
        <f>IF(N$8&lt;&gt;" ",N$8+0.00000001," ")</f>
        <v>51.00000001</v>
      </c>
      <c r="O19" s="3">
        <f t="shared" si="8"/>
        <v>26.122460655390494</v>
      </c>
      <c r="P19" s="39">
        <f t="shared" si="9"/>
        <v>12232.610720489034</v>
      </c>
      <c r="Q19" s="39">
        <f t="shared" si="10"/>
        <v>12232.610720489034</v>
      </c>
      <c r="R19" s="3">
        <f t="shared" si="11"/>
        <v>0</v>
      </c>
      <c r="S19" s="41">
        <f>IF(S$8&lt;&gt;" ",S$8+0.00000001," ")</f>
        <v>51.10000001</v>
      </c>
      <c r="T19" s="41">
        <f t="shared" si="12"/>
        <v>26.089593101620256</v>
      </c>
      <c r="U19" s="49">
        <f t="shared" si="13"/>
        <v>12216.634248160804</v>
      </c>
      <c r="V19" s="41">
        <f t="shared" si="14"/>
        <v>12216.634248160804</v>
      </c>
      <c r="W19" s="41">
        <f t="shared" si="15"/>
        <v>0</v>
      </c>
      <c r="X19" s="24">
        <f>IF(X$8&lt;&gt;" ",X$8+0.00000001," ")</f>
        <v>51.11000001</v>
      </c>
      <c r="Y19" s="24">
        <f t="shared" si="16"/>
        <v>26.086311210801124</v>
      </c>
      <c r="Z19" s="41">
        <f t="shared" si="17"/>
        <v>12215.039056928888</v>
      </c>
      <c r="AA19" s="24">
        <f t="shared" si="18"/>
        <v>12215.039056928888</v>
      </c>
      <c r="AB19" s="24">
        <f t="shared" si="19"/>
        <v>0</v>
      </c>
      <c r="AC19" s="45">
        <f>IF(AC$8&lt;&gt;" ",AC$8+0.00000001," ")</f>
        <v>51.11100001</v>
      </c>
      <c r="AD19" s="45">
        <f t="shared" si="20"/>
        <v>26.085983070297882</v>
      </c>
      <c r="AE19" s="45">
        <f t="shared" si="21"/>
        <v>12214.879562330654</v>
      </c>
      <c r="AF19" s="45">
        <f t="shared" si="22"/>
        <v>12214.879562330654</v>
      </c>
      <c r="AG19" s="45">
        <f t="shared" si="23"/>
        <v>0</v>
      </c>
      <c r="AH19" s="31">
        <f t="shared" si="26"/>
        <v>54.61730625755939</v>
      </c>
      <c r="AI19" s="3">
        <f t="shared" si="27"/>
        <v>53.62521731411241</v>
      </c>
      <c r="AJ19" s="3">
        <f t="shared" si="28"/>
        <v>54.05283232750561</v>
      </c>
      <c r="AK19" s="3">
        <f t="shared" si="29"/>
        <v>53.06074338405861</v>
      </c>
      <c r="AL19" s="24">
        <f t="shared" si="30"/>
        <v>0.992088943446991</v>
      </c>
      <c r="AM19" s="28">
        <f t="shared" si="31"/>
        <v>0.5644739300537772</v>
      </c>
      <c r="AN19" s="3">
        <f t="shared" si="32"/>
        <v>26.543860156765042</v>
      </c>
      <c r="AO19" s="3">
        <f t="shared" si="33"/>
        <v>25.57708445103851</v>
      </c>
      <c r="AP19" s="3">
        <f t="shared" si="34"/>
        <v>26.456068661569645</v>
      </c>
      <c r="AQ19" s="3">
        <f t="shared" si="35"/>
        <v>25.489292955843116</v>
      </c>
      <c r="AR19" s="24">
        <f t="shared" si="36"/>
        <v>0.9667757057265293</v>
      </c>
      <c r="AS19" s="28">
        <f t="shared" si="37"/>
        <v>0.08779149519539095</v>
      </c>
      <c r="AT19" s="3">
        <f t="shared" si="38"/>
        <v>26.20682099435077</v>
      </c>
      <c r="AU19" s="3">
        <f t="shared" si="39"/>
        <v>25.24058045565753</v>
      </c>
      <c r="AV19" s="3">
        <f t="shared" si="40"/>
        <v>26.122460655390494</v>
      </c>
      <c r="AW19" s="3">
        <f t="shared" si="41"/>
        <v>25.156220116697245</v>
      </c>
      <c r="AX19" s="24">
        <f t="shared" si="42"/>
        <v>0.9662405386932419</v>
      </c>
      <c r="AY19" s="28">
        <f t="shared" si="43"/>
        <v>0.08436033896027573</v>
      </c>
      <c r="AZ19" s="41">
        <f t="shared" si="44"/>
        <v>26.173619009534637</v>
      </c>
      <c r="BA19" s="41">
        <f t="shared" si="45"/>
        <v>25.207431776254666</v>
      </c>
      <c r="BB19" s="41">
        <f t="shared" si="46"/>
        <v>26.089593101620256</v>
      </c>
      <c r="BC19" s="41">
        <f t="shared" si="47"/>
        <v>25.12340586834029</v>
      </c>
      <c r="BD19" s="24">
        <f t="shared" si="48"/>
        <v>0.9661872332799699</v>
      </c>
      <c r="BE19" s="28">
        <f t="shared" si="49"/>
        <v>0.08402590791437803</v>
      </c>
      <c r="BF19" s="24">
        <f t="shared" si="50"/>
        <v>26.170303760761286</v>
      </c>
      <c r="BG19" s="24">
        <f t="shared" si="51"/>
        <v>25.204121855920544</v>
      </c>
      <c r="BH19" s="24">
        <f t="shared" si="52"/>
        <v>26.086311210801124</v>
      </c>
      <c r="BI19" s="24">
        <f t="shared" si="53"/>
        <v>25.12012930596037</v>
      </c>
      <c r="BJ19" s="24">
        <f t="shared" si="54"/>
        <v>0.9661819048407536</v>
      </c>
      <c r="BK19" s="28">
        <f t="shared" si="55"/>
        <v>0.08399254996016407</v>
      </c>
      <c r="BL19" s="45">
        <f t="shared" si="56"/>
        <v>26.16997228531246</v>
      </c>
      <c r="BM19" s="45">
        <f t="shared" si="57"/>
        <v>25.203790913294622</v>
      </c>
      <c r="BN19" s="45">
        <f t="shared" si="58"/>
        <v>26.085983070297882</v>
      </c>
      <c r="BO19" s="45">
        <f t="shared" si="59"/>
        <v>25.11980169828004</v>
      </c>
      <c r="BP19" s="51">
        <f t="shared" si="60"/>
        <v>0.9661813720178425</v>
      </c>
      <c r="BQ19" s="52">
        <f t="shared" si="61"/>
        <v>0.08398921501457904</v>
      </c>
    </row>
    <row r="20" spans="1:69" ht="12.75">
      <c r="A20" s="12">
        <f t="shared" si="24"/>
        <v>72</v>
      </c>
      <c r="B20" s="11">
        <f t="shared" si="25"/>
        <v>460</v>
      </c>
      <c r="C20" s="12">
        <f t="shared" si="25"/>
        <v>0</v>
      </c>
      <c r="D20" s="37">
        <v>11</v>
      </c>
      <c r="E20" s="3">
        <f t="shared" si="2"/>
        <v>52.74306998961863</v>
      </c>
      <c r="F20" s="39">
        <f t="shared" si="0"/>
        <v>25632.49763874721</v>
      </c>
      <c r="G20" s="2">
        <f t="shared" si="3"/>
        <v>25632.49763874721</v>
      </c>
      <c r="H20" s="3">
        <f t="shared" si="4"/>
        <v>0</v>
      </c>
      <c r="I20" s="21">
        <f>IF(I$8&lt;&gt;" ",I$8+0.1," ")</f>
        <v>50.1</v>
      </c>
      <c r="J20" s="3">
        <f t="shared" si="5"/>
        <v>26.422299231691923</v>
      </c>
      <c r="K20" s="39">
        <f t="shared" si="6"/>
        <v>12378.434887586376</v>
      </c>
      <c r="L20" s="39">
        <f t="shared" si="7"/>
        <v>12378.434887586376</v>
      </c>
      <c r="M20" s="3">
        <f t="shared" si="1"/>
        <v>0</v>
      </c>
      <c r="N20" s="3">
        <f>IF(N$8&lt;&gt;" ",N$8+0.01," ")</f>
        <v>51.01</v>
      </c>
      <c r="O20" s="3">
        <f t="shared" si="8"/>
        <v>26.119169918264035</v>
      </c>
      <c r="P20" s="39">
        <f t="shared" si="9"/>
        <v>12231.011062809213</v>
      </c>
      <c r="Q20" s="39">
        <f t="shared" si="10"/>
        <v>12231.011062809213</v>
      </c>
      <c r="R20" s="3">
        <f t="shared" si="11"/>
        <v>0</v>
      </c>
      <c r="S20" s="41">
        <f>IF(S$8&lt;&gt;" ",S$8+0.001," ")</f>
        <v>51.101</v>
      </c>
      <c r="T20" s="41">
        <f t="shared" si="12"/>
        <v>26.089264876069592</v>
      </c>
      <c r="U20" s="49">
        <f t="shared" si="13"/>
        <v>12216.474710564582</v>
      </c>
      <c r="V20" s="41">
        <f t="shared" si="14"/>
        <v>12216.474710564582</v>
      </c>
      <c r="W20" s="41">
        <f t="shared" si="15"/>
        <v>0</v>
      </c>
      <c r="X20" s="24">
        <f>IF(X$8&lt;&gt;" ",X$8+0.0001," ")</f>
        <v>51.1101</v>
      </c>
      <c r="Y20" s="24">
        <f t="shared" si="16"/>
        <v>26.08627839963483</v>
      </c>
      <c r="Z20" s="41">
        <f t="shared" si="17"/>
        <v>12215.023108863395</v>
      </c>
      <c r="AA20" s="24">
        <f t="shared" si="18"/>
        <v>12215.023108863395</v>
      </c>
      <c r="AB20" s="24">
        <f t="shared" si="19"/>
        <v>0</v>
      </c>
      <c r="AC20" s="45">
        <f>IF(AC$8&lt;&gt;" ",AC$8+0.00001," ")</f>
        <v>51.11101</v>
      </c>
      <c r="AD20" s="45">
        <f t="shared" si="20"/>
        <v>26.085979792218758</v>
      </c>
      <c r="AE20" s="45">
        <f t="shared" si="21"/>
        <v>12214.877969002086</v>
      </c>
      <c r="AF20" s="45">
        <f t="shared" si="22"/>
        <v>12214.877969002086</v>
      </c>
      <c r="AG20" s="45">
        <f t="shared" si="23"/>
        <v>0</v>
      </c>
      <c r="AH20" s="31">
        <f t="shared" si="26"/>
        <v>53.27771082570741</v>
      </c>
      <c r="AI20" s="3">
        <f t="shared" si="27"/>
        <v>52.28636978702098</v>
      </c>
      <c r="AJ20" s="3">
        <f t="shared" si="28"/>
        <v>52.74306998961863</v>
      </c>
      <c r="AK20" s="3">
        <f t="shared" si="29"/>
        <v>51.75172895093216</v>
      </c>
      <c r="AL20" s="24">
        <f t="shared" si="30"/>
        <v>0.9913410386864557</v>
      </c>
      <c r="AM20" s="28">
        <f t="shared" si="31"/>
        <v>0.5346408360887915</v>
      </c>
      <c r="AN20" s="3">
        <f t="shared" si="32"/>
        <v>26.509740378842817</v>
      </c>
      <c r="AO20" s="3">
        <f t="shared" si="33"/>
        <v>25.543018363490965</v>
      </c>
      <c r="AP20" s="3">
        <f t="shared" si="34"/>
        <v>26.422299231691923</v>
      </c>
      <c r="AQ20" s="3">
        <f t="shared" si="35"/>
        <v>25.455577216340064</v>
      </c>
      <c r="AR20" s="24">
        <f t="shared" si="36"/>
        <v>0.966722015351854</v>
      </c>
      <c r="AS20" s="28">
        <f t="shared" si="37"/>
        <v>0.08744114715088916</v>
      </c>
      <c r="AT20" s="3">
        <f t="shared" si="38"/>
        <v>26.20349674436165</v>
      </c>
      <c r="AU20" s="3">
        <f t="shared" si="39"/>
        <v>25.237261537925107</v>
      </c>
      <c r="AV20" s="3">
        <f t="shared" si="40"/>
        <v>26.119169918264035</v>
      </c>
      <c r="AW20" s="3">
        <f t="shared" si="41"/>
        <v>25.152934711827488</v>
      </c>
      <c r="AX20" s="24">
        <f t="shared" si="42"/>
        <v>0.9662352064365471</v>
      </c>
      <c r="AY20" s="28">
        <f t="shared" si="43"/>
        <v>0.0843268260976141</v>
      </c>
      <c r="AZ20" s="41">
        <f t="shared" si="44"/>
        <v>26.173287447526466</v>
      </c>
      <c r="BA20" s="41">
        <f t="shared" si="45"/>
        <v>25.20710074710229</v>
      </c>
      <c r="BB20" s="41">
        <f t="shared" si="46"/>
        <v>26.089264876069592</v>
      </c>
      <c r="BC20" s="41">
        <f t="shared" si="47"/>
        <v>25.123078175645407</v>
      </c>
      <c r="BD20" s="24">
        <f t="shared" si="48"/>
        <v>0.9661867004241858</v>
      </c>
      <c r="BE20" s="28">
        <f t="shared" si="49"/>
        <v>0.08402257145687746</v>
      </c>
      <c r="BF20" s="24">
        <f t="shared" si="50"/>
        <v>26.170270616126835</v>
      </c>
      <c r="BG20" s="24">
        <f t="shared" si="51"/>
        <v>25.20408876456321</v>
      </c>
      <c r="BH20" s="24">
        <f t="shared" si="52"/>
        <v>26.08627839963483</v>
      </c>
      <c r="BI20" s="24">
        <f t="shared" si="53"/>
        <v>25.120096548071206</v>
      </c>
      <c r="BJ20" s="24">
        <f t="shared" si="54"/>
        <v>0.9661818515636188</v>
      </c>
      <c r="BK20" s="28">
        <f t="shared" si="55"/>
        <v>0.08399221649200372</v>
      </c>
      <c r="BL20" s="45">
        <f t="shared" si="56"/>
        <v>26.169968973918003</v>
      </c>
      <c r="BM20" s="45">
        <f t="shared" si="57"/>
        <v>25.203787607223052</v>
      </c>
      <c r="BN20" s="45">
        <f t="shared" si="58"/>
        <v>26.085979792218758</v>
      </c>
      <c r="BO20" s="45">
        <f t="shared" si="59"/>
        <v>25.11979842552379</v>
      </c>
      <c r="BP20" s="51">
        <f t="shared" si="60"/>
        <v>0.9661813666949608</v>
      </c>
      <c r="BQ20" s="52">
        <f t="shared" si="61"/>
        <v>0.08398918169925196</v>
      </c>
    </row>
    <row r="21" spans="1:69" ht="12.75">
      <c r="A21" s="12">
        <f t="shared" si="24"/>
        <v>72</v>
      </c>
      <c r="B21" s="11">
        <f t="shared" si="25"/>
        <v>460</v>
      </c>
      <c r="C21" s="12">
        <f t="shared" si="25"/>
        <v>0</v>
      </c>
      <c r="D21" s="37">
        <v>12</v>
      </c>
      <c r="E21" s="3">
        <f t="shared" si="2"/>
        <v>51.48827299613536</v>
      </c>
      <c r="F21" s="39">
        <f t="shared" si="0"/>
        <v>24983.48111514062</v>
      </c>
      <c r="G21" s="2">
        <f t="shared" si="3"/>
        <v>24983.48111514062</v>
      </c>
      <c r="H21" s="3">
        <f t="shared" si="4"/>
        <v>0</v>
      </c>
      <c r="I21" s="21">
        <f>IF(I$8&lt;&gt;" ",I$8+0.2," ")</f>
        <v>50.2</v>
      </c>
      <c r="J21" s="3">
        <f t="shared" si="5"/>
        <v>26.388621517932695</v>
      </c>
      <c r="K21" s="39">
        <f t="shared" si="6"/>
        <v>12362.04911352805</v>
      </c>
      <c r="L21" s="39">
        <f t="shared" si="7"/>
        <v>12362.04911352805</v>
      </c>
      <c r="M21" s="3">
        <f t="shared" si="1"/>
        <v>0</v>
      </c>
      <c r="N21" s="3">
        <f>IF(N$8&lt;&gt;" ",N$8+0.02," ")</f>
        <v>51.02</v>
      </c>
      <c r="O21" s="3">
        <f t="shared" si="8"/>
        <v>26.11588006429103</v>
      </c>
      <c r="P21" s="39">
        <f t="shared" si="9"/>
        <v>12229.411851112032</v>
      </c>
      <c r="Q21" s="39">
        <f t="shared" si="10"/>
        <v>12229.411851112032</v>
      </c>
      <c r="R21" s="3">
        <f t="shared" si="11"/>
        <v>0</v>
      </c>
      <c r="S21" s="41">
        <f>IF(S$8&lt;&gt;" ",S$8+0.002," ")</f>
        <v>51.102000000000004</v>
      </c>
      <c r="T21" s="41">
        <f t="shared" si="12"/>
        <v>26.08893665607099</v>
      </c>
      <c r="U21" s="49">
        <f t="shared" si="13"/>
        <v>12216.315175833031</v>
      </c>
      <c r="V21" s="41">
        <f t="shared" si="14"/>
        <v>12216.315175833031</v>
      </c>
      <c r="W21" s="41">
        <f t="shared" si="15"/>
        <v>0</v>
      </c>
      <c r="X21" s="24">
        <f>IF(X$8&lt;&gt;" ",X$8+0.0002," ")</f>
        <v>51.1102</v>
      </c>
      <c r="Y21" s="24">
        <f t="shared" si="16"/>
        <v>26.086245585275496</v>
      </c>
      <c r="Z21" s="41">
        <f t="shared" si="17"/>
        <v>12215.007159247565</v>
      </c>
      <c r="AA21" s="24">
        <f t="shared" si="18"/>
        <v>12215.007159247565</v>
      </c>
      <c r="AB21" s="24">
        <f t="shared" si="19"/>
        <v>0</v>
      </c>
      <c r="AC21" s="45">
        <f>IF(AC$8&lt;&gt;" ",AC$8+0.00002," ")</f>
        <v>51.111019999999996</v>
      </c>
      <c r="AD21" s="45">
        <f t="shared" si="20"/>
        <v>26.085976510859112</v>
      </c>
      <c r="AE21" s="45">
        <f t="shared" si="21"/>
        <v>12214.876374079022</v>
      </c>
      <c r="AF21" s="45">
        <f t="shared" si="22"/>
        <v>12214.876374079022</v>
      </c>
      <c r="AG21" s="45">
        <f t="shared" si="23"/>
        <v>0</v>
      </c>
      <c r="AH21" s="31">
        <f t="shared" si="26"/>
        <v>51.994904117312664</v>
      </c>
      <c r="AI21" s="3">
        <f t="shared" si="27"/>
        <v>51.004303719369695</v>
      </c>
      <c r="AJ21" s="3">
        <f t="shared" si="28"/>
        <v>51.48827299613536</v>
      </c>
      <c r="AK21" s="3">
        <f t="shared" si="29"/>
        <v>50.497672598192345</v>
      </c>
      <c r="AL21" s="24">
        <f t="shared" si="30"/>
        <v>0.9906003979430033</v>
      </c>
      <c r="AM21" s="28">
        <f t="shared" si="31"/>
        <v>0.5066311211773207</v>
      </c>
      <c r="AN21" s="3">
        <f t="shared" si="32"/>
        <v>26.475713947100523</v>
      </c>
      <c r="AO21" s="3">
        <f t="shared" si="33"/>
        <v>25.50904558338732</v>
      </c>
      <c r="AP21" s="3">
        <f t="shared" si="34"/>
        <v>26.388621517932695</v>
      </c>
      <c r="AQ21" s="3">
        <f t="shared" si="35"/>
        <v>25.42195315421948</v>
      </c>
      <c r="AR21" s="24">
        <f t="shared" si="36"/>
        <v>0.966668363713214</v>
      </c>
      <c r="AS21" s="28">
        <f t="shared" si="37"/>
        <v>0.08709242916782495</v>
      </c>
      <c r="AT21" s="3">
        <f t="shared" si="38"/>
        <v>26.20017339302361</v>
      </c>
      <c r="AU21" s="3">
        <f t="shared" si="39"/>
        <v>25.233943518466585</v>
      </c>
      <c r="AV21" s="3">
        <f t="shared" si="40"/>
        <v>26.11588006429103</v>
      </c>
      <c r="AW21" s="3">
        <f t="shared" si="41"/>
        <v>25.14965018973399</v>
      </c>
      <c r="AX21" s="24">
        <f t="shared" si="42"/>
        <v>0.9662298745570381</v>
      </c>
      <c r="AY21" s="28">
        <f t="shared" si="43"/>
        <v>0.08429332873258266</v>
      </c>
      <c r="AZ21" s="41">
        <f t="shared" si="44"/>
        <v>26.172955891191567</v>
      </c>
      <c r="BA21" s="41">
        <f t="shared" si="45"/>
        <v>25.20676972362469</v>
      </c>
      <c r="BB21" s="41">
        <f t="shared" si="46"/>
        <v>26.08893665607099</v>
      </c>
      <c r="BC21" s="41">
        <f t="shared" si="47"/>
        <v>25.1227504885041</v>
      </c>
      <c r="BD21" s="24">
        <f t="shared" si="48"/>
        <v>0.9661861675668934</v>
      </c>
      <c r="BE21" s="28">
        <f t="shared" si="49"/>
        <v>0.0840192351205759</v>
      </c>
      <c r="BF21" s="24">
        <f t="shared" si="50"/>
        <v>26.170237468267537</v>
      </c>
      <c r="BG21" s="24">
        <f t="shared" si="51"/>
        <v>25.20405566998633</v>
      </c>
      <c r="BH21" s="24">
        <f t="shared" si="52"/>
        <v>26.086245585275496</v>
      </c>
      <c r="BI21" s="24">
        <f t="shared" si="53"/>
        <v>25.120063786994294</v>
      </c>
      <c r="BJ21" s="24">
        <f t="shared" si="54"/>
        <v>0.9661817982811941</v>
      </c>
      <c r="BK21" s="28">
        <f t="shared" si="55"/>
        <v>0.0839918829920379</v>
      </c>
      <c r="BL21" s="45">
        <f t="shared" si="56"/>
        <v>26.1699656592097</v>
      </c>
      <c r="BM21" s="45">
        <f t="shared" si="57"/>
        <v>25.20378429784297</v>
      </c>
      <c r="BN21" s="45">
        <f t="shared" si="58"/>
        <v>26.085976510859112</v>
      </c>
      <c r="BO21" s="45">
        <f t="shared" si="59"/>
        <v>25.119795149492365</v>
      </c>
      <c r="BP21" s="51">
        <f t="shared" si="60"/>
        <v>0.9661813613667513</v>
      </c>
      <c r="BQ21" s="52">
        <f t="shared" si="61"/>
        <v>0.0839891483505917</v>
      </c>
    </row>
    <row r="22" spans="1:69" ht="12.75">
      <c r="A22" s="12">
        <f t="shared" si="24"/>
        <v>72</v>
      </c>
      <c r="B22" s="11">
        <f t="shared" si="25"/>
        <v>460</v>
      </c>
      <c r="C22" s="12">
        <f t="shared" si="25"/>
        <v>0</v>
      </c>
      <c r="D22" s="37">
        <v>13</v>
      </c>
      <c r="E22" s="3">
        <f t="shared" si="2"/>
        <v>50.28546967679782</v>
      </c>
      <c r="F22" s="39">
        <f t="shared" si="0"/>
        <v>24362.73267603371</v>
      </c>
      <c r="G22" s="2">
        <f t="shared" si="3"/>
        <v>24362.73267603371</v>
      </c>
      <c r="H22" s="3">
        <f t="shared" si="4"/>
        <v>0</v>
      </c>
      <c r="I22" s="21">
        <f>IF(I$8&lt;&gt;" ",I$8+0.3," ")</f>
        <v>50.3</v>
      </c>
      <c r="J22" s="3">
        <f t="shared" si="5"/>
        <v>26.355035176669084</v>
      </c>
      <c r="K22" s="39">
        <f t="shared" si="6"/>
        <v>12345.709527689763</v>
      </c>
      <c r="L22" s="39">
        <f t="shared" si="7"/>
        <v>12345.709527689763</v>
      </c>
      <c r="M22" s="3">
        <f t="shared" si="1"/>
        <v>0</v>
      </c>
      <c r="N22" s="3">
        <f>IF(N$8&lt;&gt;" ",N$8+0.03," ")</f>
        <v>51.03</v>
      </c>
      <c r="O22" s="3">
        <f t="shared" si="8"/>
        <v>26.112591096432492</v>
      </c>
      <c r="P22" s="39">
        <f t="shared" si="9"/>
        <v>12227.813086824406</v>
      </c>
      <c r="Q22" s="39">
        <f t="shared" si="10"/>
        <v>12227.813086824406</v>
      </c>
      <c r="R22" s="3">
        <f t="shared" si="11"/>
        <v>0</v>
      </c>
      <c r="S22" s="41">
        <f>IF(S$8&lt;&gt;" ",S$8+0.003," ")</f>
        <v>51.103</v>
      </c>
      <c r="T22" s="41">
        <f t="shared" si="12"/>
        <v>26.088608444906647</v>
      </c>
      <c r="U22" s="49">
        <f t="shared" si="13"/>
        <v>12216.155645561486</v>
      </c>
      <c r="V22" s="41">
        <f t="shared" si="14"/>
        <v>12216.155645561486</v>
      </c>
      <c r="W22" s="41">
        <f t="shared" si="15"/>
        <v>0</v>
      </c>
      <c r="X22" s="24">
        <f>IF(X$8&lt;&gt;" ",X$8+0.0003," ")</f>
        <v>51.1103</v>
      </c>
      <c r="Y22" s="24">
        <f t="shared" si="16"/>
        <v>26.086212771004323</v>
      </c>
      <c r="Z22" s="41">
        <f t="shared" si="17"/>
        <v>12214.99120967625</v>
      </c>
      <c r="AA22" s="24">
        <f t="shared" si="18"/>
        <v>12214.99120967625</v>
      </c>
      <c r="AB22" s="24">
        <f t="shared" si="19"/>
        <v>0</v>
      </c>
      <c r="AC22" s="45">
        <f>IF(AC$8&lt;&gt;" ",AC$8+0.00003," ")</f>
        <v>51.11103</v>
      </c>
      <c r="AD22" s="45">
        <f t="shared" si="20"/>
        <v>26.085973229500595</v>
      </c>
      <c r="AE22" s="45">
        <f t="shared" si="21"/>
        <v>12214.874779156517</v>
      </c>
      <c r="AF22" s="45">
        <f t="shared" si="22"/>
        <v>12214.874779156517</v>
      </c>
      <c r="AG22" s="45">
        <f t="shared" si="23"/>
        <v>0</v>
      </c>
      <c r="AH22" s="31">
        <f t="shared" si="26"/>
        <v>50.765788204230944</v>
      </c>
      <c r="AI22" s="3">
        <f t="shared" si="27"/>
        <v>49.775921317485896</v>
      </c>
      <c r="AJ22" s="3">
        <f t="shared" si="28"/>
        <v>50.28546967679782</v>
      </c>
      <c r="AK22" s="3">
        <f t="shared" si="29"/>
        <v>49.295602790052726</v>
      </c>
      <c r="AL22" s="24">
        <f t="shared" si="30"/>
        <v>0.9898668867450781</v>
      </c>
      <c r="AM22" s="28">
        <f t="shared" si="31"/>
        <v>0.48031852743314046</v>
      </c>
      <c r="AN22" s="3">
        <f t="shared" si="32"/>
        <v>26.441780509256887</v>
      </c>
      <c r="AO22" s="3">
        <f t="shared" si="33"/>
        <v>25.475165758499458</v>
      </c>
      <c r="AP22" s="3">
        <f t="shared" si="34"/>
        <v>26.355035176669084</v>
      </c>
      <c r="AQ22" s="3">
        <f t="shared" si="35"/>
        <v>25.388420425911647</v>
      </c>
      <c r="AR22" s="24">
        <f t="shared" si="36"/>
        <v>0.9666147507574363</v>
      </c>
      <c r="AS22" s="28">
        <f t="shared" si="37"/>
        <v>0.08674533258780488</v>
      </c>
      <c r="AT22" s="3">
        <f t="shared" si="38"/>
        <v>26.196850943322968</v>
      </c>
      <c r="AU22" s="3">
        <f t="shared" si="39"/>
        <v>25.230626400262974</v>
      </c>
      <c r="AV22" s="3">
        <f t="shared" si="40"/>
        <v>26.112591096432492</v>
      </c>
      <c r="AW22" s="3">
        <f t="shared" si="41"/>
        <v>25.14636655337249</v>
      </c>
      <c r="AX22" s="24">
        <f t="shared" si="42"/>
        <v>0.9662245430599948</v>
      </c>
      <c r="AY22" s="28">
        <f t="shared" si="43"/>
        <v>0.08425984689047691</v>
      </c>
      <c r="AZ22" s="41">
        <f t="shared" si="44"/>
        <v>26.17262434384548</v>
      </c>
      <c r="BA22" s="41">
        <f t="shared" si="45"/>
        <v>25.20643870913206</v>
      </c>
      <c r="BB22" s="41">
        <f t="shared" si="46"/>
        <v>26.088608444906647</v>
      </c>
      <c r="BC22" s="41">
        <f t="shared" si="47"/>
        <v>25.122422810193214</v>
      </c>
      <c r="BD22" s="24">
        <f t="shared" si="48"/>
        <v>0.9661856347134214</v>
      </c>
      <c r="BE22" s="28">
        <f t="shared" si="49"/>
        <v>0.08401589893883094</v>
      </c>
      <c r="BF22" s="24">
        <f t="shared" si="50"/>
        <v>26.17020432049794</v>
      </c>
      <c r="BG22" s="24">
        <f t="shared" si="51"/>
        <v>25.204022575499135</v>
      </c>
      <c r="BH22" s="24">
        <f t="shared" si="52"/>
        <v>26.086212771004323</v>
      </c>
      <c r="BI22" s="24">
        <f t="shared" si="53"/>
        <v>25.1200310260055</v>
      </c>
      <c r="BJ22" s="24">
        <f t="shared" si="54"/>
        <v>0.9661817449988074</v>
      </c>
      <c r="BK22" s="28">
        <f t="shared" si="55"/>
        <v>0.08399154949361713</v>
      </c>
      <c r="BL22" s="45">
        <f t="shared" si="56"/>
        <v>26.169962344502544</v>
      </c>
      <c r="BM22" s="45">
        <f t="shared" si="57"/>
        <v>25.203780988464004</v>
      </c>
      <c r="BN22" s="45">
        <f t="shared" si="58"/>
        <v>26.085973229500595</v>
      </c>
      <c r="BO22" s="45">
        <f t="shared" si="59"/>
        <v>25.11979187346205</v>
      </c>
      <c r="BP22" s="51">
        <f t="shared" si="60"/>
        <v>0.9661813560385424</v>
      </c>
      <c r="BQ22" s="52">
        <f t="shared" si="61"/>
        <v>0.08398911500194692</v>
      </c>
    </row>
    <row r="23" spans="1:69" ht="12.75">
      <c r="A23" s="12">
        <f t="shared" si="24"/>
        <v>72</v>
      </c>
      <c r="B23" s="11">
        <f t="shared" si="25"/>
        <v>460</v>
      </c>
      <c r="C23" s="12">
        <f t="shared" si="25"/>
        <v>0</v>
      </c>
      <c r="D23" s="37">
        <v>14</v>
      </c>
      <c r="E23" s="3">
        <f t="shared" si="2"/>
        <v>49.131879863806326</v>
      </c>
      <c r="F23" s="39">
        <f t="shared" si="0"/>
        <v>23768.674748975893</v>
      </c>
      <c r="G23" s="2">
        <f t="shared" si="3"/>
        <v>23768.674748975893</v>
      </c>
      <c r="H23" s="3">
        <f t="shared" si="4"/>
        <v>0</v>
      </c>
      <c r="I23" s="21">
        <f>IF(I$8&lt;&gt;" ",I$8+0.4," ")</f>
        <v>50.4</v>
      </c>
      <c r="J23" s="3">
        <f t="shared" si="5"/>
        <v>26.321539865539886</v>
      </c>
      <c r="K23" s="39">
        <f t="shared" si="6"/>
        <v>12329.415950511067</v>
      </c>
      <c r="L23" s="39">
        <f t="shared" si="7"/>
        <v>12329.415950511067</v>
      </c>
      <c r="M23" s="3">
        <f t="shared" si="1"/>
        <v>0</v>
      </c>
      <c r="N23" s="3">
        <f>IF(N$8&lt;&gt;" ",N$8+0.04," ")</f>
        <v>51.04</v>
      </c>
      <c r="O23" s="3">
        <f t="shared" si="8"/>
        <v>26.109303014358183</v>
      </c>
      <c r="P23" s="39">
        <f t="shared" si="9"/>
        <v>12226.214769773349</v>
      </c>
      <c r="Q23" s="39">
        <f t="shared" si="10"/>
        <v>12226.214769773349</v>
      </c>
      <c r="R23" s="3">
        <f t="shared" si="11"/>
        <v>0</v>
      </c>
      <c r="S23" s="41">
        <f>IF(S$8&lt;&gt;" ",S$8+0.004," ")</f>
        <v>51.104</v>
      </c>
      <c r="T23" s="41">
        <f t="shared" si="12"/>
        <v>26.088280242575927</v>
      </c>
      <c r="U23" s="49">
        <f t="shared" si="13"/>
        <v>12215.996119749629</v>
      </c>
      <c r="V23" s="41">
        <f t="shared" si="14"/>
        <v>12215.996119749629</v>
      </c>
      <c r="W23" s="41">
        <f t="shared" si="15"/>
        <v>0</v>
      </c>
      <c r="X23" s="24">
        <f>IF(X$8&lt;&gt;" ",X$8+0.0004," ")</f>
        <v>51.1104</v>
      </c>
      <c r="Y23" s="24">
        <f t="shared" si="16"/>
        <v>26.086179956821475</v>
      </c>
      <c r="Z23" s="41">
        <f t="shared" si="17"/>
        <v>12214.975260149522</v>
      </c>
      <c r="AA23" s="24">
        <f t="shared" si="18"/>
        <v>12214.975260149522</v>
      </c>
      <c r="AB23" s="24">
        <f t="shared" si="19"/>
        <v>0</v>
      </c>
      <c r="AC23" s="45">
        <f>IF(AC$8&lt;&gt;" ",AC$8+0.00004," ")</f>
        <v>51.111039999999996</v>
      </c>
      <c r="AD23" s="45">
        <f t="shared" si="20"/>
        <v>26.085969948142704</v>
      </c>
      <c r="AE23" s="45">
        <f t="shared" si="21"/>
        <v>12214.873184234337</v>
      </c>
      <c r="AF23" s="45">
        <f t="shared" si="22"/>
        <v>12214.873184234337</v>
      </c>
      <c r="AG23" s="45">
        <f t="shared" si="23"/>
        <v>0</v>
      </c>
      <c r="AH23" s="31">
        <f t="shared" si="26"/>
        <v>49.587466411490375</v>
      </c>
      <c r="AI23" s="3">
        <f t="shared" si="27"/>
        <v>48.598326037217454</v>
      </c>
      <c r="AJ23" s="3">
        <f t="shared" si="28"/>
        <v>49.131879863806326</v>
      </c>
      <c r="AK23" s="3">
        <f t="shared" si="29"/>
        <v>48.142739489533376</v>
      </c>
      <c r="AL23" s="24">
        <f t="shared" si="30"/>
        <v>0.9891403742729185</v>
      </c>
      <c r="AM23" s="28">
        <f t="shared" si="31"/>
        <v>0.4555865476840489</v>
      </c>
      <c r="AN23" s="3">
        <f t="shared" si="32"/>
        <v>26.407939714340554</v>
      </c>
      <c r="AO23" s="3">
        <f t="shared" si="33"/>
        <v>25.441378537909642</v>
      </c>
      <c r="AP23" s="3">
        <f t="shared" si="34"/>
        <v>26.321539865539886</v>
      </c>
      <c r="AQ23" s="3">
        <f t="shared" si="35"/>
        <v>25.354978689108947</v>
      </c>
      <c r="AR23" s="24">
        <f t="shared" si="36"/>
        <v>0.9665611764309217</v>
      </c>
      <c r="AS23" s="28">
        <f t="shared" si="37"/>
        <v>0.08639984880067131</v>
      </c>
      <c r="AT23" s="3">
        <f t="shared" si="38"/>
        <v>26.193529394921256</v>
      </c>
      <c r="AU23" s="3">
        <f t="shared" si="39"/>
        <v>25.227310182975895</v>
      </c>
      <c r="AV23" s="3">
        <f t="shared" si="40"/>
        <v>26.109303014358183</v>
      </c>
      <c r="AW23" s="3">
        <f t="shared" si="41"/>
        <v>25.143083802412807</v>
      </c>
      <c r="AX23" s="24">
        <f t="shared" si="42"/>
        <v>0.9662192119453645</v>
      </c>
      <c r="AY23" s="28">
        <f t="shared" si="43"/>
        <v>0.08422638056307612</v>
      </c>
      <c r="AZ23" s="41">
        <f t="shared" si="44"/>
        <v>26.172292805487565</v>
      </c>
      <c r="BA23" s="41">
        <f t="shared" si="45"/>
        <v>25.206107703623783</v>
      </c>
      <c r="BB23" s="41">
        <f t="shared" si="46"/>
        <v>26.088280242575927</v>
      </c>
      <c r="BC23" s="41">
        <f t="shared" si="47"/>
        <v>25.12209514071215</v>
      </c>
      <c r="BD23" s="24">
        <f t="shared" si="48"/>
        <v>0.9661851018637697</v>
      </c>
      <c r="BE23" s="28">
        <f t="shared" si="49"/>
        <v>0.08401256291163445</v>
      </c>
      <c r="BF23" s="24">
        <f t="shared" si="50"/>
        <v>26.17017117281822</v>
      </c>
      <c r="BG23" s="24">
        <f t="shared" si="51"/>
        <v>25.203989481101765</v>
      </c>
      <c r="BH23" s="24">
        <f t="shared" si="52"/>
        <v>26.086179956821475</v>
      </c>
      <c r="BI23" s="24">
        <f t="shared" si="53"/>
        <v>25.119998265105004</v>
      </c>
      <c r="BJ23" s="24">
        <f t="shared" si="54"/>
        <v>0.966181691716459</v>
      </c>
      <c r="BK23" s="28">
        <f t="shared" si="55"/>
        <v>0.08399121599674117</v>
      </c>
      <c r="BL23" s="45">
        <f t="shared" si="56"/>
        <v>26.169959029796022</v>
      </c>
      <c r="BM23" s="45">
        <f t="shared" si="57"/>
        <v>25.20377767908569</v>
      </c>
      <c r="BN23" s="45">
        <f t="shared" si="58"/>
        <v>26.085969948142704</v>
      </c>
      <c r="BO23" s="45">
        <f t="shared" si="59"/>
        <v>25.11978859743237</v>
      </c>
      <c r="BP23" s="51">
        <f t="shared" si="60"/>
        <v>0.9661813507103336</v>
      </c>
      <c r="BQ23" s="52">
        <f t="shared" si="61"/>
        <v>0.08398908165331755</v>
      </c>
    </row>
    <row r="24" spans="1:69" ht="12.75">
      <c r="A24" s="12">
        <f t="shared" si="24"/>
        <v>72</v>
      </c>
      <c r="B24" s="11">
        <f t="shared" si="25"/>
        <v>460</v>
      </c>
      <c r="C24" s="12">
        <f t="shared" si="25"/>
        <v>0</v>
      </c>
      <c r="D24" s="37">
        <v>15</v>
      </c>
      <c r="E24" s="3">
        <f t="shared" si="2"/>
        <v>48.02490073717239</v>
      </c>
      <c r="F24" s="39">
        <f t="shared" si="0"/>
        <v>23199.834213117552</v>
      </c>
      <c r="G24" s="2">
        <f t="shared" si="3"/>
        <v>23199.834213117552</v>
      </c>
      <c r="H24" s="3">
        <f t="shared" si="4"/>
        <v>0</v>
      </c>
      <c r="I24" s="21">
        <f>IF(I$8&lt;&gt;" ",I$8+0.5," ")</f>
        <v>50.5</v>
      </c>
      <c r="J24" s="3">
        <f t="shared" si="5"/>
        <v>26.288135243774143</v>
      </c>
      <c r="K24" s="39">
        <f t="shared" si="6"/>
        <v>12313.168203294821</v>
      </c>
      <c r="L24" s="39">
        <f t="shared" si="7"/>
        <v>12313.168203294821</v>
      </c>
      <c r="M24" s="3">
        <f t="shared" si="1"/>
        <v>0</v>
      </c>
      <c r="N24" s="3">
        <f>IF(N$8&lt;&gt;" ",N$8+0.05," ")</f>
        <v>51.05</v>
      </c>
      <c r="O24" s="3">
        <f t="shared" si="8"/>
        <v>26.106015817737678</v>
      </c>
      <c r="P24" s="39">
        <f t="shared" si="9"/>
        <v>12224.616899785806</v>
      </c>
      <c r="Q24" s="39">
        <f t="shared" si="10"/>
        <v>12224.616899785806</v>
      </c>
      <c r="R24" s="3">
        <f t="shared" si="11"/>
        <v>0</v>
      </c>
      <c r="S24" s="41">
        <f>IF(S$8&lt;&gt;" ",S$8+0.005," ")</f>
        <v>51.105000000000004</v>
      </c>
      <c r="T24" s="41">
        <f t="shared" si="12"/>
        <v>26.08795204907871</v>
      </c>
      <c r="U24" s="49">
        <f t="shared" si="13"/>
        <v>12215.836598397385</v>
      </c>
      <c r="V24" s="41">
        <f t="shared" si="14"/>
        <v>12215.836598397385</v>
      </c>
      <c r="W24" s="41">
        <f t="shared" si="15"/>
        <v>0</v>
      </c>
      <c r="X24" s="24">
        <f>IF(X$8&lt;&gt;" ",X$8+0.0005," ")</f>
        <v>51.1105</v>
      </c>
      <c r="Y24" s="24">
        <f t="shared" si="16"/>
        <v>26.08614714272695</v>
      </c>
      <c r="Z24" s="41">
        <f t="shared" si="17"/>
        <v>12214.959310667387</v>
      </c>
      <c r="AA24" s="24">
        <f t="shared" si="18"/>
        <v>12214.959310667387</v>
      </c>
      <c r="AB24" s="24">
        <f t="shared" si="19"/>
        <v>0</v>
      </c>
      <c r="AC24" s="45">
        <f>IF(AC$8&lt;&gt;" ",AC$8+0.00005," ")</f>
        <v>51.11105</v>
      </c>
      <c r="AD24" s="45">
        <f t="shared" si="20"/>
        <v>26.08596666678577</v>
      </c>
      <c r="AE24" s="45">
        <f t="shared" si="21"/>
        <v>12214.871589312637</v>
      </c>
      <c r="AF24" s="45">
        <f t="shared" si="22"/>
        <v>12214.871589312637</v>
      </c>
      <c r="AG24" s="45">
        <f t="shared" si="23"/>
        <v>0</v>
      </c>
      <c r="AH24" s="31">
        <f t="shared" si="26"/>
        <v>48.45722833308393</v>
      </c>
      <c r="AI24" s="3">
        <f t="shared" si="27"/>
        <v>47.46880759985558</v>
      </c>
      <c r="AJ24" s="3">
        <f t="shared" si="28"/>
        <v>48.02490073717239</v>
      </c>
      <c r="AK24" s="3">
        <f t="shared" si="29"/>
        <v>47.03648000394401</v>
      </c>
      <c r="AL24" s="24">
        <f t="shared" si="30"/>
        <v>0.9884207332283691</v>
      </c>
      <c r="AM24" s="28">
        <f t="shared" si="31"/>
        <v>0.43232759591155645</v>
      </c>
      <c r="AN24" s="3">
        <f t="shared" si="32"/>
        <v>26.374191213021813</v>
      </c>
      <c r="AO24" s="3">
        <f t="shared" si="33"/>
        <v>25.40768357234164</v>
      </c>
      <c r="AP24" s="3">
        <f t="shared" si="34"/>
        <v>26.288135243774143</v>
      </c>
      <c r="AQ24" s="3">
        <f t="shared" si="35"/>
        <v>25.321627603093948</v>
      </c>
      <c r="AR24" s="24">
        <f t="shared" si="36"/>
        <v>0.9665076406801799</v>
      </c>
      <c r="AS24" s="28">
        <f t="shared" si="37"/>
        <v>0.08605596924767006</v>
      </c>
      <c r="AT24" s="3">
        <f t="shared" si="38"/>
        <v>26.190208747479844</v>
      </c>
      <c r="AU24" s="3">
        <f t="shared" si="39"/>
        <v>25.223994866266743</v>
      </c>
      <c r="AV24" s="3">
        <f t="shared" si="40"/>
        <v>26.106015817737678</v>
      </c>
      <c r="AW24" s="3">
        <f t="shared" si="41"/>
        <v>25.13980193652458</v>
      </c>
      <c r="AX24" s="24">
        <f t="shared" si="42"/>
        <v>0.9662138812130942</v>
      </c>
      <c r="AY24" s="28">
        <f t="shared" si="43"/>
        <v>0.08419292974216466</v>
      </c>
      <c r="AZ24" s="41">
        <f t="shared" si="44"/>
        <v>26.171961276117685</v>
      </c>
      <c r="BA24" s="41">
        <f t="shared" si="45"/>
        <v>25.205776707099737</v>
      </c>
      <c r="BB24" s="41">
        <f t="shared" si="46"/>
        <v>26.08795204907871</v>
      </c>
      <c r="BC24" s="41">
        <f t="shared" si="47"/>
        <v>25.121767480060765</v>
      </c>
      <c r="BD24" s="24">
        <f t="shared" si="48"/>
        <v>0.9661845690179381</v>
      </c>
      <c r="BE24" s="28">
        <f t="shared" si="49"/>
        <v>0.0840092270389781</v>
      </c>
      <c r="BF24" s="24">
        <f t="shared" si="50"/>
        <v>26.17013802522836</v>
      </c>
      <c r="BG24" s="24">
        <f t="shared" si="51"/>
        <v>25.20395638679422</v>
      </c>
      <c r="BH24" s="24">
        <f t="shared" si="52"/>
        <v>26.08614714272695</v>
      </c>
      <c r="BI24" s="24">
        <f t="shared" si="53"/>
        <v>25.1199655042928</v>
      </c>
      <c r="BJ24" s="24">
        <f t="shared" si="54"/>
        <v>0.9661816384341487</v>
      </c>
      <c r="BK24" s="28">
        <f t="shared" si="55"/>
        <v>0.08399088250141012</v>
      </c>
      <c r="BL24" s="45">
        <f t="shared" si="56"/>
        <v>26.169955715090474</v>
      </c>
      <c r="BM24" s="45">
        <f t="shared" si="57"/>
        <v>25.20377436970834</v>
      </c>
      <c r="BN24" s="45">
        <f t="shared" si="58"/>
        <v>26.08596666678577</v>
      </c>
      <c r="BO24" s="45">
        <f t="shared" si="59"/>
        <v>25.119785321403644</v>
      </c>
      <c r="BP24" s="51">
        <f t="shared" si="60"/>
        <v>0.9661813453821252</v>
      </c>
      <c r="BQ24" s="52">
        <f t="shared" si="61"/>
        <v>0.08398904830470358</v>
      </c>
    </row>
    <row r="25" spans="1:69" ht="12.75">
      <c r="A25" s="12">
        <f t="shared" si="24"/>
        <v>72</v>
      </c>
      <c r="B25" s="11">
        <f t="shared" si="25"/>
        <v>460</v>
      </c>
      <c r="C25" s="12">
        <f t="shared" si="25"/>
        <v>0</v>
      </c>
      <c r="D25" s="37">
        <v>16</v>
      </c>
      <c r="E25" s="3">
        <f t="shared" si="2"/>
        <v>46.962093842237316</v>
      </c>
      <c r="F25" s="39">
        <f t="shared" si="0"/>
        <v>22654.83449783275</v>
      </c>
      <c r="G25" s="2">
        <f t="shared" si="3"/>
        <v>22654.83449783275</v>
      </c>
      <c r="H25" s="3">
        <f t="shared" si="4"/>
        <v>0</v>
      </c>
      <c r="I25" s="21">
        <f>IF(I$8&lt;&gt;" ",I$8+0.6," ")</f>
        <v>50.6</v>
      </c>
      <c r="J25" s="3">
        <f t="shared" si="5"/>
        <v>26.254820972183094</v>
      </c>
      <c r="K25" s="39">
        <f t="shared" si="6"/>
        <v>12296.966108202594</v>
      </c>
      <c r="L25" s="39">
        <f t="shared" si="7"/>
        <v>12296.966108202594</v>
      </c>
      <c r="M25" s="3">
        <f t="shared" si="1"/>
        <v>0</v>
      </c>
      <c r="N25" s="3">
        <f>IF(N$8&lt;&gt;" ",N$8+0.06," ")</f>
        <v>51.06</v>
      </c>
      <c r="O25" s="3">
        <f t="shared" si="8"/>
        <v>26.10272950624137</v>
      </c>
      <c r="P25" s="39">
        <f t="shared" si="9"/>
        <v>12223.019476689105</v>
      </c>
      <c r="Q25" s="39">
        <f t="shared" si="10"/>
        <v>12223.019476689105</v>
      </c>
      <c r="R25" s="3">
        <f t="shared" si="11"/>
        <v>0</v>
      </c>
      <c r="S25" s="41">
        <f>IF(S$8&lt;&gt;" ",S$8+0.006," ")</f>
        <v>51.106</v>
      </c>
      <c r="T25" s="41">
        <f t="shared" si="12"/>
        <v>26.087623864414514</v>
      </c>
      <c r="U25" s="49">
        <f t="shared" si="13"/>
        <v>12215.677081504517</v>
      </c>
      <c r="V25" s="41">
        <f t="shared" si="14"/>
        <v>12215.677081504517</v>
      </c>
      <c r="W25" s="41">
        <f t="shared" si="15"/>
        <v>0</v>
      </c>
      <c r="X25" s="24">
        <f>IF(X$8&lt;&gt;" ",X$8+0.0006," ")</f>
        <v>51.1106</v>
      </c>
      <c r="Y25" s="24">
        <f t="shared" si="16"/>
        <v>26.08611432872075</v>
      </c>
      <c r="Z25" s="41">
        <f t="shared" si="17"/>
        <v>12214.943361229842</v>
      </c>
      <c r="AA25" s="24">
        <f t="shared" si="18"/>
        <v>12214.943361229842</v>
      </c>
      <c r="AB25" s="24">
        <f t="shared" si="19"/>
        <v>0</v>
      </c>
      <c r="AC25" s="45">
        <f>IF(AC$8&lt;&gt;" ",AC$8+0.00006," ")</f>
        <v>51.111059999999995</v>
      </c>
      <c r="AD25" s="45">
        <f t="shared" si="20"/>
        <v>26.085963385429785</v>
      </c>
      <c r="AE25" s="45">
        <f t="shared" si="21"/>
        <v>12214.869994391416</v>
      </c>
      <c r="AF25" s="45">
        <f t="shared" si="22"/>
        <v>12214.869994391416</v>
      </c>
      <c r="AG25" s="45">
        <f t="shared" si="23"/>
        <v>0</v>
      </c>
      <c r="AH25" s="31">
        <f t="shared" si="26"/>
        <v>47.37253609690473</v>
      </c>
      <c r="AI25" s="3">
        <f t="shared" si="27"/>
        <v>46.3848282571943</v>
      </c>
      <c r="AJ25" s="3">
        <f t="shared" si="28"/>
        <v>46.962093842237316</v>
      </c>
      <c r="AK25" s="3">
        <f t="shared" si="29"/>
        <v>45.974386002526884</v>
      </c>
      <c r="AL25" s="24">
        <f t="shared" si="30"/>
        <v>0.9877078397104215</v>
      </c>
      <c r="AM25" s="28">
        <f t="shared" si="31"/>
        <v>0.41044225466741585</v>
      </c>
      <c r="AN25" s="3">
        <f t="shared" si="32"/>
        <v>26.340534657604206</v>
      </c>
      <c r="AO25" s="3">
        <f t="shared" si="33"/>
        <v>25.374080514152386</v>
      </c>
      <c r="AP25" s="3">
        <f t="shared" si="34"/>
        <v>26.254820972183094</v>
      </c>
      <c r="AQ25" s="3">
        <f t="shared" si="35"/>
        <v>25.28836682873126</v>
      </c>
      <c r="AR25" s="24">
        <f t="shared" si="36"/>
        <v>0.9664541434518307</v>
      </c>
      <c r="AS25" s="28">
        <f t="shared" si="37"/>
        <v>0.08571368542111005</v>
      </c>
      <c r="AT25" s="3">
        <f t="shared" si="38"/>
        <v>26.1868890006609</v>
      </c>
      <c r="AU25" s="3">
        <f t="shared" si="39"/>
        <v>25.22068044979776</v>
      </c>
      <c r="AV25" s="3">
        <f t="shared" si="40"/>
        <v>26.10272950624137</v>
      </c>
      <c r="AW25" s="3">
        <f t="shared" si="41"/>
        <v>25.13652095537823</v>
      </c>
      <c r="AX25" s="24">
        <f t="shared" si="42"/>
        <v>0.9662085508631312</v>
      </c>
      <c r="AY25" s="28">
        <f t="shared" si="43"/>
        <v>0.08415949441953198</v>
      </c>
      <c r="AZ25" s="41">
        <f t="shared" si="44"/>
        <v>26.17162975573537</v>
      </c>
      <c r="BA25" s="41">
        <f t="shared" si="45"/>
        <v>25.205445719559457</v>
      </c>
      <c r="BB25" s="41">
        <f t="shared" si="46"/>
        <v>26.087623864414514</v>
      </c>
      <c r="BC25" s="41">
        <f t="shared" si="47"/>
        <v>25.121439828238582</v>
      </c>
      <c r="BD25" s="24">
        <f t="shared" si="48"/>
        <v>0.9661840361759267</v>
      </c>
      <c r="BE25" s="28">
        <f t="shared" si="49"/>
        <v>0.08400589132085402</v>
      </c>
      <c r="BF25" s="24">
        <f t="shared" si="50"/>
        <v>26.17010487772837</v>
      </c>
      <c r="BG25" s="24">
        <f t="shared" si="51"/>
        <v>25.20392329257651</v>
      </c>
      <c r="BH25" s="24">
        <f t="shared" si="52"/>
        <v>26.08611432872075</v>
      </c>
      <c r="BI25" s="24">
        <f t="shared" si="53"/>
        <v>25.119932743568864</v>
      </c>
      <c r="BJ25" s="24">
        <f t="shared" si="54"/>
        <v>0.9661815851518767</v>
      </c>
      <c r="BK25" s="28">
        <f t="shared" si="55"/>
        <v>0.08399054900762386</v>
      </c>
      <c r="BL25" s="45">
        <f t="shared" si="56"/>
        <v>26.16995240038589</v>
      </c>
      <c r="BM25" s="45">
        <f t="shared" si="57"/>
        <v>25.20377106033198</v>
      </c>
      <c r="BN25" s="45">
        <f t="shared" si="58"/>
        <v>26.085963385429785</v>
      </c>
      <c r="BO25" s="45">
        <f t="shared" si="59"/>
        <v>25.119782045375857</v>
      </c>
      <c r="BP25" s="51">
        <f t="shared" si="60"/>
        <v>0.9661813400539174</v>
      </c>
      <c r="BQ25" s="52">
        <f t="shared" si="61"/>
        <v>0.08398901495610511</v>
      </c>
    </row>
    <row r="26" spans="1:69" ht="12.75">
      <c r="A26" s="12">
        <f t="shared" si="24"/>
        <v>72</v>
      </c>
      <c r="B26" s="11">
        <f t="shared" si="25"/>
        <v>460</v>
      </c>
      <c r="C26" s="12">
        <f t="shared" si="25"/>
        <v>0</v>
      </c>
      <c r="D26" s="37">
        <v>17</v>
      </c>
      <c r="E26" s="3">
        <f t="shared" si="2"/>
        <v>45.941173172314066</v>
      </c>
      <c r="F26" s="39">
        <f t="shared" si="0"/>
        <v>22132.388348838405</v>
      </c>
      <c r="G26" s="2">
        <f t="shared" si="3"/>
        <v>22132.388348838405</v>
      </c>
      <c r="H26" s="3">
        <f t="shared" si="4"/>
        <v>0</v>
      </c>
      <c r="I26" s="21">
        <f>IF(I$8&lt;&gt;" ",I$8+0.7," ")</f>
        <v>50.7</v>
      </c>
      <c r="J26" s="3">
        <f t="shared" si="5"/>
        <v>26.221596713151705</v>
      </c>
      <c r="K26" s="39">
        <f t="shared" si="6"/>
        <v>12280.80948824993</v>
      </c>
      <c r="L26" s="39">
        <f t="shared" si="7"/>
        <v>12280.80948824993</v>
      </c>
      <c r="M26" s="3">
        <f t="shared" si="1"/>
        <v>0</v>
      </c>
      <c r="N26" s="3">
        <f>IF(N$8&lt;&gt;" ",N$8+0.07," ")</f>
        <v>51.07</v>
      </c>
      <c r="O26" s="3">
        <f t="shared" si="8"/>
        <v>26.099444079539115</v>
      </c>
      <c r="P26" s="39">
        <f t="shared" si="9"/>
        <v>12221.422500310342</v>
      </c>
      <c r="Q26" s="39">
        <f t="shared" si="10"/>
        <v>12221.422500310342</v>
      </c>
      <c r="R26" s="3">
        <f t="shared" si="11"/>
        <v>0</v>
      </c>
      <c r="S26" s="41">
        <f>IF(S$8&lt;&gt;" ",S$8+0.007," ")</f>
        <v>51.107</v>
      </c>
      <c r="T26" s="41">
        <f t="shared" si="12"/>
        <v>26.087295688583225</v>
      </c>
      <c r="U26" s="49">
        <f t="shared" si="13"/>
        <v>12215.517569070944</v>
      </c>
      <c r="V26" s="41">
        <f t="shared" si="14"/>
        <v>12215.517569070944</v>
      </c>
      <c r="W26" s="41">
        <f t="shared" si="15"/>
        <v>0</v>
      </c>
      <c r="X26" s="24">
        <f>IF(X$8&lt;&gt;" ",X$8+0.0007," ")</f>
        <v>51.1107</v>
      </c>
      <c r="Y26" s="24">
        <f t="shared" si="16"/>
        <v>26.086081514802874</v>
      </c>
      <c r="Z26" s="41">
        <f t="shared" si="17"/>
        <v>12214.927411836883</v>
      </c>
      <c r="AA26" s="24">
        <f t="shared" si="18"/>
        <v>12214.927411836883</v>
      </c>
      <c r="AB26" s="24">
        <f t="shared" si="19"/>
        <v>0</v>
      </c>
      <c r="AC26" s="45">
        <f>IF(AC$8&lt;&gt;" ",AC$8+0.00007," ")</f>
        <v>51.11107</v>
      </c>
      <c r="AD26" s="45">
        <f t="shared" si="20"/>
        <v>26.085960104074598</v>
      </c>
      <c r="AE26" s="45">
        <f t="shared" si="21"/>
        <v>12214.8683994706</v>
      </c>
      <c r="AF26" s="45">
        <f t="shared" si="22"/>
        <v>12214.8683994706</v>
      </c>
      <c r="AG26" s="45">
        <f t="shared" si="23"/>
        <v>0</v>
      </c>
      <c r="AH26" s="31">
        <f t="shared" si="26"/>
        <v>46.33101176405427</v>
      </c>
      <c r="AI26" s="3">
        <f t="shared" si="27"/>
        <v>45.34401019095809</v>
      </c>
      <c r="AJ26" s="3">
        <f t="shared" si="28"/>
        <v>45.941173172314066</v>
      </c>
      <c r="AK26" s="3">
        <f t="shared" si="29"/>
        <v>44.954171599217865</v>
      </c>
      <c r="AL26" s="24">
        <f t="shared" si="30"/>
        <v>0.9870015730961818</v>
      </c>
      <c r="AM26" s="28">
        <f t="shared" si="31"/>
        <v>0.3898385917401997</v>
      </c>
      <c r="AN26" s="3">
        <f t="shared" si="32"/>
        <v>26.30696970201573</v>
      </c>
      <c r="AO26" s="3">
        <f t="shared" si="33"/>
        <v>25.340569017323126</v>
      </c>
      <c r="AP26" s="3">
        <f t="shared" si="34"/>
        <v>26.221596713151705</v>
      </c>
      <c r="AQ26" s="3">
        <f t="shared" si="35"/>
        <v>25.255196028459096</v>
      </c>
      <c r="AR26" s="24">
        <f t="shared" si="36"/>
        <v>0.9664006846926034</v>
      </c>
      <c r="AS26" s="28">
        <f t="shared" si="37"/>
        <v>0.08537298886402521</v>
      </c>
      <c r="AT26" s="3">
        <f t="shared" si="38"/>
        <v>26.183570154126084</v>
      </c>
      <c r="AU26" s="3">
        <f t="shared" si="39"/>
        <v>25.21736693323067</v>
      </c>
      <c r="AV26" s="3">
        <f t="shared" si="40"/>
        <v>26.099444079539115</v>
      </c>
      <c r="AW26" s="3">
        <f t="shared" si="41"/>
        <v>25.13324085864369</v>
      </c>
      <c r="AX26" s="24">
        <f t="shared" si="42"/>
        <v>0.9662032208954228</v>
      </c>
      <c r="AY26" s="28">
        <f t="shared" si="43"/>
        <v>0.08412607458697201</v>
      </c>
      <c r="AZ26" s="41">
        <f t="shared" si="44"/>
        <v>26.17129824434048</v>
      </c>
      <c r="BA26" s="41">
        <f t="shared" si="45"/>
        <v>25.205114741002742</v>
      </c>
      <c r="BB26" s="41">
        <f t="shared" si="46"/>
        <v>26.087295688583225</v>
      </c>
      <c r="BC26" s="41">
        <f t="shared" si="47"/>
        <v>25.121112185245483</v>
      </c>
      <c r="BD26" s="24">
        <f t="shared" si="48"/>
        <v>0.9661835033377355</v>
      </c>
      <c r="BE26" s="28">
        <f t="shared" si="49"/>
        <v>0.0840025557572537</v>
      </c>
      <c r="BF26" s="24">
        <f t="shared" si="50"/>
        <v>26.170071730318256</v>
      </c>
      <c r="BG26" s="24">
        <f t="shared" si="51"/>
        <v>25.203890198448626</v>
      </c>
      <c r="BH26" s="24">
        <f t="shared" si="52"/>
        <v>26.086081514802874</v>
      </c>
      <c r="BI26" s="24">
        <f t="shared" si="53"/>
        <v>25.119899982933234</v>
      </c>
      <c r="BJ26" s="24">
        <f t="shared" si="54"/>
        <v>0.9661815318696428</v>
      </c>
      <c r="BK26" s="28">
        <f t="shared" si="55"/>
        <v>0.0839902155153826</v>
      </c>
      <c r="BL26" s="45">
        <f t="shared" si="56"/>
        <v>26.16994908568212</v>
      </c>
      <c r="BM26" s="45">
        <f t="shared" si="57"/>
        <v>25.203767750956423</v>
      </c>
      <c r="BN26" s="45">
        <f t="shared" si="58"/>
        <v>26.085960104074598</v>
      </c>
      <c r="BO26" s="45">
        <f t="shared" si="59"/>
        <v>25.119778769348887</v>
      </c>
      <c r="BP26" s="51">
        <f t="shared" si="60"/>
        <v>0.96618133472571</v>
      </c>
      <c r="BQ26" s="52">
        <f t="shared" si="61"/>
        <v>0.08398898160752215</v>
      </c>
    </row>
    <row r="27" spans="1:69" ht="12.75">
      <c r="A27" s="12">
        <f t="shared" si="24"/>
        <v>72</v>
      </c>
      <c r="B27" s="11">
        <f t="shared" si="25"/>
        <v>460</v>
      </c>
      <c r="C27" s="12">
        <f t="shared" si="25"/>
        <v>0</v>
      </c>
      <c r="D27" s="37">
        <v>18</v>
      </c>
      <c r="E27" s="3">
        <f t="shared" si="2"/>
        <v>44.95999422011014</v>
      </c>
      <c r="F27" s="39">
        <f t="shared" si="0"/>
        <v>21631.29119981917</v>
      </c>
      <c r="G27" s="2">
        <f t="shared" si="3"/>
        <v>21631.29119981917</v>
      </c>
      <c r="H27" s="3">
        <f t="shared" si="4"/>
        <v>0</v>
      </c>
      <c r="I27" s="21">
        <f>IF(I$8&lt;&gt;" ",I$8+0.8," ")</f>
        <v>50.8</v>
      </c>
      <c r="J27" s="3">
        <f t="shared" si="5"/>
        <v>26.188462130629386</v>
      </c>
      <c r="K27" s="39">
        <f t="shared" si="6"/>
        <v>12264.69816730119</v>
      </c>
      <c r="L27" s="39">
        <f t="shared" si="7"/>
        <v>12264.69816730119</v>
      </c>
      <c r="M27" s="3">
        <f t="shared" si="1"/>
        <v>0</v>
      </c>
      <c r="N27" s="3">
        <f>IF(N$8&lt;&gt;" ",N$8+0.08," ")</f>
        <v>51.08</v>
      </c>
      <c r="O27" s="3">
        <f t="shared" si="8"/>
        <v>26.096159537301602</v>
      </c>
      <c r="P27" s="39">
        <f t="shared" si="9"/>
        <v>12219.825970477012</v>
      </c>
      <c r="Q27" s="39">
        <f t="shared" si="10"/>
        <v>12219.825970477012</v>
      </c>
      <c r="R27" s="3">
        <f t="shared" si="11"/>
        <v>0</v>
      </c>
      <c r="S27" s="41">
        <f>IF(S$8&lt;&gt;" ",S$8+0.008," ")</f>
        <v>51.108000000000004</v>
      </c>
      <c r="T27" s="41">
        <f t="shared" si="12"/>
        <v>26.08696752158438</v>
      </c>
      <c r="U27" s="49">
        <f t="shared" si="13"/>
        <v>12215.358061096435</v>
      </c>
      <c r="V27" s="41">
        <f t="shared" si="14"/>
        <v>12215.358061096435</v>
      </c>
      <c r="W27" s="41">
        <f t="shared" si="15"/>
        <v>0</v>
      </c>
      <c r="X27" s="24">
        <f>IF(X$8&lt;&gt;" ",X$8+0.0008," ")</f>
        <v>51.1108</v>
      </c>
      <c r="Y27" s="24">
        <f t="shared" si="16"/>
        <v>26.086048700973322</v>
      </c>
      <c r="Z27" s="41">
        <f t="shared" si="17"/>
        <v>12214.911462488517</v>
      </c>
      <c r="AA27" s="24">
        <f t="shared" si="18"/>
        <v>12214.911462488517</v>
      </c>
      <c r="AB27" s="24">
        <f t="shared" si="19"/>
        <v>0</v>
      </c>
      <c r="AC27" s="45">
        <f>IF(AC$8&lt;&gt;" ",AC$8+0.00008," ")</f>
        <v>51.111079999999994</v>
      </c>
      <c r="AD27" s="45">
        <f t="shared" si="20"/>
        <v>26.085956822720366</v>
      </c>
      <c r="AE27" s="45">
        <f t="shared" si="21"/>
        <v>12214.866804550264</v>
      </c>
      <c r="AF27" s="45">
        <f t="shared" si="22"/>
        <v>12214.866804550264</v>
      </c>
      <c r="AG27" s="45">
        <f t="shared" si="23"/>
        <v>0</v>
      </c>
      <c r="AH27" s="31">
        <f t="shared" si="26"/>
        <v>45.3304257592885</v>
      </c>
      <c r="AI27" s="3">
        <f t="shared" si="27"/>
        <v>44.3441239433615</v>
      </c>
      <c r="AJ27" s="3">
        <f t="shared" si="28"/>
        <v>44.95999422011014</v>
      </c>
      <c r="AK27" s="3">
        <f t="shared" si="29"/>
        <v>43.97369240418313</v>
      </c>
      <c r="AL27" s="24">
        <f t="shared" si="30"/>
        <v>0.9863018159269878</v>
      </c>
      <c r="AM27" s="28">
        <f t="shared" si="31"/>
        <v>0.3704315391783548</v>
      </c>
      <c r="AN27" s="3">
        <f t="shared" si="32"/>
        <v>26.273496001799224</v>
      </c>
      <c r="AO27" s="3">
        <f t="shared" si="33"/>
        <v>25.307148737449896</v>
      </c>
      <c r="AP27" s="3">
        <f t="shared" si="34"/>
        <v>26.188462130629386</v>
      </c>
      <c r="AQ27" s="3">
        <f t="shared" si="35"/>
        <v>25.222114866280034</v>
      </c>
      <c r="AR27" s="24">
        <f t="shared" si="36"/>
        <v>0.9663472643493359</v>
      </c>
      <c r="AS27" s="28">
        <f t="shared" si="37"/>
        <v>0.08503387116983824</v>
      </c>
      <c r="AT27" s="3">
        <f t="shared" si="38"/>
        <v>26.180252207537887</v>
      </c>
      <c r="AU27" s="3">
        <f t="shared" si="39"/>
        <v>25.214054316227976</v>
      </c>
      <c r="AV27" s="3">
        <f t="shared" si="40"/>
        <v>26.096159537301602</v>
      </c>
      <c r="AW27" s="3">
        <f t="shared" si="41"/>
        <v>25.12996164599167</v>
      </c>
      <c r="AX27" s="24">
        <f t="shared" si="42"/>
        <v>0.9661978913099163</v>
      </c>
      <c r="AY27" s="28">
        <f t="shared" si="43"/>
        <v>0.08409267023628389</v>
      </c>
      <c r="AZ27" s="41">
        <f t="shared" si="44"/>
        <v>26.17096674193255</v>
      </c>
      <c r="BA27" s="41">
        <f t="shared" si="45"/>
        <v>25.20478377142919</v>
      </c>
      <c r="BB27" s="41">
        <f t="shared" si="46"/>
        <v>26.08696752158438</v>
      </c>
      <c r="BC27" s="41">
        <f t="shared" si="47"/>
        <v>25.12078455108099</v>
      </c>
      <c r="BD27" s="24">
        <f t="shared" si="48"/>
        <v>0.9661829705033643</v>
      </c>
      <c r="BE27" s="28">
        <f t="shared" si="49"/>
        <v>0.0839992203481691</v>
      </c>
      <c r="BF27" s="24">
        <f t="shared" si="50"/>
        <v>26.170038582998007</v>
      </c>
      <c r="BG27" s="24">
        <f t="shared" si="51"/>
        <v>25.203857104410567</v>
      </c>
      <c r="BH27" s="24">
        <f t="shared" si="52"/>
        <v>26.086048700973322</v>
      </c>
      <c r="BI27" s="24">
        <f t="shared" si="53"/>
        <v>25.119867222385874</v>
      </c>
      <c r="BJ27" s="24">
        <f t="shared" si="54"/>
        <v>0.9661814785874472</v>
      </c>
      <c r="BK27" s="28">
        <f t="shared" si="55"/>
        <v>0.08398988202468612</v>
      </c>
      <c r="BL27" s="45">
        <f t="shared" si="56"/>
        <v>26.169945770979314</v>
      </c>
      <c r="BM27" s="45">
        <f t="shared" si="57"/>
        <v>25.20376444158182</v>
      </c>
      <c r="BN27" s="45">
        <f t="shared" si="58"/>
        <v>26.085956822720366</v>
      </c>
      <c r="BO27" s="45">
        <f t="shared" si="59"/>
        <v>25.11977549332287</v>
      </c>
      <c r="BP27" s="51">
        <f t="shared" si="60"/>
        <v>0.9661813293975027</v>
      </c>
      <c r="BQ27" s="52">
        <f t="shared" si="61"/>
        <v>0.08398894825895456</v>
      </c>
    </row>
    <row r="28" spans="1:69" ht="12.75">
      <c r="A28" s="12">
        <f t="shared" si="24"/>
        <v>72</v>
      </c>
      <c r="B28" s="11">
        <f t="shared" si="25"/>
        <v>460</v>
      </c>
      <c r="C28" s="12">
        <f t="shared" si="25"/>
        <v>0</v>
      </c>
      <c r="D28" s="37">
        <v>19</v>
      </c>
      <c r="E28" s="3">
        <f t="shared" si="2"/>
        <v>44.016543911036386</v>
      </c>
      <c r="F28" s="39">
        <f t="shared" si="0"/>
        <v>21150.415093803098</v>
      </c>
      <c r="G28" s="2">
        <f t="shared" si="3"/>
        <v>21150.415093803098</v>
      </c>
      <c r="H28" s="3">
        <f t="shared" si="4"/>
        <v>0</v>
      </c>
      <c r="I28" s="21">
        <f>IF(I$8&lt;&gt;" ",I$8+0.9," ")</f>
        <v>50.9</v>
      </c>
      <c r="J28" s="3">
        <f t="shared" si="5"/>
        <v>26.155416890121472</v>
      </c>
      <c r="K28" s="39">
        <f t="shared" si="6"/>
        <v>12248.6319700648</v>
      </c>
      <c r="L28" s="39">
        <f t="shared" si="7"/>
        <v>12248.6319700648</v>
      </c>
      <c r="M28" s="3">
        <f t="shared" si="1"/>
        <v>0</v>
      </c>
      <c r="N28" s="3">
        <f>IF(N$8&lt;&gt;" ",N$8+0.09," ")</f>
        <v>51.09</v>
      </c>
      <c r="O28" s="3">
        <f t="shared" si="8"/>
        <v>26.092875879199315</v>
      </c>
      <c r="P28" s="39">
        <f t="shared" si="9"/>
        <v>12218.229887016518</v>
      </c>
      <c r="Q28" s="39">
        <f t="shared" si="10"/>
        <v>12218.229887016518</v>
      </c>
      <c r="R28" s="3">
        <f t="shared" si="11"/>
        <v>0</v>
      </c>
      <c r="S28" s="41">
        <f>IF(S$8&lt;&gt;" ",S$8+0.009," ")</f>
        <v>51.109</v>
      </c>
      <c r="T28" s="41">
        <f t="shared" si="12"/>
        <v>26.086639363417508</v>
      </c>
      <c r="U28" s="49">
        <f t="shared" si="13"/>
        <v>12215.19855758075</v>
      </c>
      <c r="V28" s="41">
        <f t="shared" si="14"/>
        <v>12215.19855758075</v>
      </c>
      <c r="W28" s="41">
        <f t="shared" si="15"/>
        <v>0</v>
      </c>
      <c r="X28" s="24">
        <f>IF(X$8&lt;&gt;" ",X$8+0.0009," ")</f>
        <v>51.1109</v>
      </c>
      <c r="Y28" s="24">
        <f t="shared" si="16"/>
        <v>26.086015887232094</v>
      </c>
      <c r="Z28" s="41">
        <f t="shared" si="17"/>
        <v>12214.89551318474</v>
      </c>
      <c r="AA28" s="24">
        <f t="shared" si="18"/>
        <v>12214.89551318474</v>
      </c>
      <c r="AB28" s="24">
        <f t="shared" si="19"/>
        <v>0</v>
      </c>
      <c r="AC28" s="45">
        <f>IF(AC$8&lt;&gt;" ",AC$8+0.00009," ")</f>
        <v>51.11109</v>
      </c>
      <c r="AD28" s="45">
        <f t="shared" si="20"/>
        <v>26.08595354136708</v>
      </c>
      <c r="AE28" s="45">
        <f t="shared" si="21"/>
        <v>12214.865209630401</v>
      </c>
      <c r="AF28" s="45">
        <f t="shared" si="22"/>
        <v>12214.865209630401</v>
      </c>
      <c r="AG28" s="45">
        <f t="shared" si="23"/>
        <v>0</v>
      </c>
      <c r="AH28" s="31">
        <f t="shared" si="26"/>
        <v>44.36868623954983</v>
      </c>
      <c r="AI28" s="3">
        <f t="shared" si="27"/>
        <v>43.383077785750416</v>
      </c>
      <c r="AJ28" s="3">
        <f t="shared" si="28"/>
        <v>44.016543911036386</v>
      </c>
      <c r="AK28" s="3">
        <f t="shared" si="29"/>
        <v>43.030935457236964</v>
      </c>
      <c r="AL28" s="24">
        <f t="shared" si="30"/>
        <v>0.9856084537994104</v>
      </c>
      <c r="AM28" s="28">
        <f t="shared" si="31"/>
        <v>0.3521423285134509</v>
      </c>
      <c r="AN28" s="3">
        <f t="shared" si="32"/>
        <v>26.240113214103495</v>
      </c>
      <c r="AO28" s="3">
        <f t="shared" si="33"/>
        <v>25.273819331734522</v>
      </c>
      <c r="AP28" s="3">
        <f t="shared" si="34"/>
        <v>26.155416890121472</v>
      </c>
      <c r="AQ28" s="3">
        <f t="shared" si="35"/>
        <v>25.189123007752492</v>
      </c>
      <c r="AR28" s="24">
        <f t="shared" si="36"/>
        <v>0.9662938823689744</v>
      </c>
      <c r="AS28" s="28">
        <f t="shared" si="37"/>
        <v>0.08469632398202759</v>
      </c>
      <c r="AT28" s="3">
        <f t="shared" si="38"/>
        <v>26.17693516055859</v>
      </c>
      <c r="AU28" s="3">
        <f t="shared" si="39"/>
        <v>25.210742598452036</v>
      </c>
      <c r="AV28" s="3">
        <f t="shared" si="40"/>
        <v>26.092875879199315</v>
      </c>
      <c r="AW28" s="3">
        <f t="shared" si="41"/>
        <v>25.12668331709275</v>
      </c>
      <c r="AX28" s="24">
        <f t="shared" si="42"/>
        <v>0.9661925621065593</v>
      </c>
      <c r="AY28" s="28">
        <f t="shared" si="43"/>
        <v>0.0840592813592715</v>
      </c>
      <c r="AZ28" s="41">
        <f t="shared" si="44"/>
        <v>26.170635248511104</v>
      </c>
      <c r="BA28" s="41">
        <f t="shared" si="45"/>
        <v>25.204452810838294</v>
      </c>
      <c r="BB28" s="41">
        <f t="shared" si="46"/>
        <v>26.086639363417508</v>
      </c>
      <c r="BC28" s="41">
        <f t="shared" si="47"/>
        <v>25.120456925744687</v>
      </c>
      <c r="BD28" s="24">
        <f t="shared" si="48"/>
        <v>0.966182437672813</v>
      </c>
      <c r="BE28" s="28">
        <f t="shared" si="49"/>
        <v>0.08399588509359199</v>
      </c>
      <c r="BF28" s="24">
        <f t="shared" si="50"/>
        <v>26.170005435767628</v>
      </c>
      <c r="BG28" s="24">
        <f t="shared" si="51"/>
        <v>25.20382401046234</v>
      </c>
      <c r="BH28" s="24">
        <f t="shared" si="52"/>
        <v>26.086015887232094</v>
      </c>
      <c r="BI28" s="24">
        <f t="shared" si="53"/>
        <v>25.1198344619268</v>
      </c>
      <c r="BJ28" s="24">
        <f t="shared" si="54"/>
        <v>0.9661814253052898</v>
      </c>
      <c r="BK28" s="28">
        <f t="shared" si="55"/>
        <v>0.08398954853553436</v>
      </c>
      <c r="BL28" s="45">
        <f t="shared" si="56"/>
        <v>26.169942456277486</v>
      </c>
      <c r="BM28" s="45">
        <f t="shared" si="57"/>
        <v>25.203761132208186</v>
      </c>
      <c r="BN28" s="45">
        <f t="shared" si="58"/>
        <v>26.08595354136708</v>
      </c>
      <c r="BO28" s="45">
        <f t="shared" si="59"/>
        <v>25.119772217297786</v>
      </c>
      <c r="BP28" s="51">
        <f t="shared" si="60"/>
        <v>0.966181324069296</v>
      </c>
      <c r="BQ28" s="52">
        <f t="shared" si="61"/>
        <v>0.08398891491040247</v>
      </c>
    </row>
    <row r="29" spans="1:69" ht="12.75">
      <c r="A29" s="12">
        <f t="shared" si="24"/>
        <v>72</v>
      </c>
      <c r="B29" s="11">
        <f t="shared" si="25"/>
        <v>460</v>
      </c>
      <c r="C29" s="12">
        <f t="shared" si="25"/>
        <v>0</v>
      </c>
      <c r="D29" s="37">
        <v>20</v>
      </c>
      <c r="E29" s="3">
        <f t="shared" si="2"/>
        <v>43.10893134003529</v>
      </c>
      <c r="F29" s="39">
        <f t="shared" si="0"/>
        <v>20688.70310413057</v>
      </c>
      <c r="G29" s="2">
        <f t="shared" si="3"/>
        <v>20688.70310413057</v>
      </c>
      <c r="H29" s="3">
        <f t="shared" si="4"/>
        <v>0</v>
      </c>
      <c r="I29" s="21">
        <f>IF(I$8&lt;&gt;" ",I$8+1," ")</f>
        <v>51</v>
      </c>
      <c r="J29" s="3">
        <f t="shared" si="5"/>
        <v>26.12246065868173</v>
      </c>
      <c r="K29" s="39">
        <f t="shared" si="6"/>
        <v>12232.610722088943</v>
      </c>
      <c r="L29" s="39">
        <f t="shared" si="7"/>
        <v>12232.610722088943</v>
      </c>
      <c r="M29" s="3">
        <f t="shared" si="1"/>
        <v>51</v>
      </c>
      <c r="N29" s="3">
        <f>IF(N$8&lt;&gt;" ",N$8+0.1," ")</f>
        <v>51.1</v>
      </c>
      <c r="O29" s="3">
        <f t="shared" si="8"/>
        <v>26.08959310490274</v>
      </c>
      <c r="P29" s="39">
        <f t="shared" si="9"/>
        <v>12216.63424975629</v>
      </c>
      <c r="Q29" s="39">
        <f t="shared" si="10"/>
        <v>12216.63424975629</v>
      </c>
      <c r="R29" s="3">
        <f t="shared" si="11"/>
        <v>51.1</v>
      </c>
      <c r="S29" s="41">
        <f>IF(S$8&lt;&gt;" ",S$8+0.01," ")</f>
        <v>51.11</v>
      </c>
      <c r="T29" s="41">
        <f t="shared" si="12"/>
        <v>26.086311214082652</v>
      </c>
      <c r="U29" s="49">
        <f t="shared" si="13"/>
        <v>12215.039058523891</v>
      </c>
      <c r="V29" s="41">
        <f t="shared" si="14"/>
        <v>12215.039058523891</v>
      </c>
      <c r="W29" s="41">
        <f t="shared" si="15"/>
        <v>51.11</v>
      </c>
      <c r="X29" s="24">
        <f>IF(X$8&lt;&gt;" ",X$8+0.001," ")</f>
        <v>51.111</v>
      </c>
      <c r="Y29" s="24">
        <f t="shared" si="16"/>
        <v>26.085983073579186</v>
      </c>
      <c r="Z29" s="41">
        <f t="shared" si="17"/>
        <v>12214.87956392555</v>
      </c>
      <c r="AA29" s="24">
        <f t="shared" si="18"/>
        <v>12214.87956392555</v>
      </c>
      <c r="AB29" s="24">
        <f t="shared" si="19"/>
        <v>51.111</v>
      </c>
      <c r="AC29" s="45">
        <f>IF(AC$8&lt;&gt;" ",AC$8+0.0001," ")</f>
        <v>51.1111</v>
      </c>
      <c r="AD29" s="45">
        <f t="shared" si="20"/>
        <v>26.0859502600146</v>
      </c>
      <c r="AE29" s="45">
        <f t="shared" si="21"/>
        <v>12214.863614710948</v>
      </c>
      <c r="AF29" s="45">
        <f t="shared" si="22"/>
        <v>12214.863614710948</v>
      </c>
      <c r="AG29" s="45">
        <f t="shared" si="23"/>
        <v>51.1111</v>
      </c>
      <c r="AH29" s="31">
        <f t="shared" si="26"/>
        <v>43.443829316715686</v>
      </c>
      <c r="AI29" s="3">
        <f t="shared" si="27"/>
        <v>42.45890794145479</v>
      </c>
      <c r="AJ29" s="3">
        <f t="shared" si="28"/>
        <v>43.10893134003529</v>
      </c>
      <c r="AK29" s="3">
        <f t="shared" si="29"/>
        <v>42.12400996477439</v>
      </c>
      <c r="AL29" s="24">
        <f t="shared" si="30"/>
        <v>0.9849213752608887</v>
      </c>
      <c r="AM29" s="28">
        <f t="shared" si="31"/>
        <v>0.3348979766803841</v>
      </c>
      <c r="AN29" s="3">
        <f t="shared" si="32"/>
        <v>26.206820997675525</v>
      </c>
      <c r="AO29" s="3">
        <f t="shared" si="33"/>
        <v>25.240580458976957</v>
      </c>
      <c r="AP29" s="3">
        <f t="shared" si="34"/>
        <v>26.12246065868173</v>
      </c>
      <c r="AQ29" s="3">
        <f t="shared" si="35"/>
        <v>25.156220119983146</v>
      </c>
      <c r="AR29" s="24">
        <f t="shared" si="36"/>
        <v>0.9662405386985744</v>
      </c>
      <c r="AS29" s="28">
        <f t="shared" si="37"/>
        <v>0.0843603389937964</v>
      </c>
      <c r="AT29" s="3">
        <f t="shared" si="38"/>
        <v>26.173619012850484</v>
      </c>
      <c r="AU29" s="3">
        <f t="shared" si="39"/>
        <v>25.20743177956518</v>
      </c>
      <c r="AV29" s="3">
        <f t="shared" si="40"/>
        <v>26.08959310490274</v>
      </c>
      <c r="AW29" s="3">
        <f t="shared" si="41"/>
        <v>25.12340587161744</v>
      </c>
      <c r="AX29" s="24">
        <f t="shared" si="42"/>
        <v>0.9661872332852988</v>
      </c>
      <c r="AY29" s="28">
        <f t="shared" si="43"/>
        <v>0.08402590794774382</v>
      </c>
      <c r="AZ29" s="41">
        <f t="shared" si="44"/>
        <v>26.170303764076166</v>
      </c>
      <c r="BA29" s="41">
        <f t="shared" si="45"/>
        <v>25.204121859230092</v>
      </c>
      <c r="BB29" s="41">
        <f t="shared" si="46"/>
        <v>26.086311214082652</v>
      </c>
      <c r="BC29" s="41">
        <f t="shared" si="47"/>
        <v>25.12012930923657</v>
      </c>
      <c r="BD29" s="24">
        <f t="shared" si="48"/>
        <v>0.9661819048460819</v>
      </c>
      <c r="BE29" s="28">
        <f t="shared" si="49"/>
        <v>0.08399254999351422</v>
      </c>
      <c r="BF29" s="24">
        <f t="shared" si="50"/>
        <v>26.16997228862711</v>
      </c>
      <c r="BG29" s="24">
        <f t="shared" si="51"/>
        <v>25.203790916603946</v>
      </c>
      <c r="BH29" s="24">
        <f t="shared" si="52"/>
        <v>26.085983073579186</v>
      </c>
      <c r="BI29" s="24">
        <f t="shared" si="53"/>
        <v>25.119801701556</v>
      </c>
      <c r="BJ29" s="24">
        <f t="shared" si="54"/>
        <v>0.9661813720231706</v>
      </c>
      <c r="BK29" s="28">
        <f t="shared" si="55"/>
        <v>0.08398921504792768</v>
      </c>
      <c r="BL29" s="45">
        <f t="shared" si="56"/>
        <v>26.169939141576464</v>
      </c>
      <c r="BM29" s="45">
        <f t="shared" si="57"/>
        <v>25.203757822835385</v>
      </c>
      <c r="BN29" s="45">
        <f t="shared" si="58"/>
        <v>26.0859502600146</v>
      </c>
      <c r="BO29" s="45">
        <f t="shared" si="59"/>
        <v>25.119768941273502</v>
      </c>
      <c r="BP29" s="51">
        <f t="shared" si="60"/>
        <v>0.9661813187410896</v>
      </c>
      <c r="BQ29" s="52">
        <f t="shared" si="61"/>
        <v>0.08398888156186576</v>
      </c>
    </row>
    <row r="30" spans="1:39" ht="12.75">
      <c r="A30" s="12">
        <f t="shared" si="24"/>
        <v>72</v>
      </c>
      <c r="B30" s="11">
        <f t="shared" si="25"/>
        <v>460</v>
      </c>
      <c r="C30" s="12">
        <f t="shared" si="25"/>
        <v>0</v>
      </c>
      <c r="D30" s="37">
        <v>21</v>
      </c>
      <c r="E30" s="3">
        <f aca="true" t="shared" si="62" ref="E30:E59">IF($B$5&gt;0,IF($B$7&gt;0,AK30,AI30),IF($B$7&gt;0,AJ30,AH30))</f>
        <v>42.23537924113596</v>
      </c>
      <c r="F30" s="39">
        <f t="shared" si="0"/>
        <v>20245.164209827468</v>
      </c>
      <c r="G30" s="2">
        <f t="shared" si="3"/>
        <v>20245.164209827468</v>
      </c>
      <c r="H30" s="3">
        <f t="shared" si="4"/>
        <v>0</v>
      </c>
      <c r="AH30" s="31">
        <f aca="true" t="shared" si="63" ref="AH30:AH59">(1/((1+D30/100)^($A30/12)))*((1+D30/100)^($A30/12)-1)/((1+D30/100)^(1/12)-1)</f>
        <v>42.55401005884631</v>
      </c>
      <c r="AI30" s="3">
        <f aca="true" t="shared" si="64" ref="AI30:AI59">(1/((1+D30/100)^($A30/12)))*((1+D30/100)^(($A30-1)/12)-1)/((1+D30/100)^(1/12)-1)</f>
        <v>41.56976958713655</v>
      </c>
      <c r="AJ30" s="3">
        <f aca="true" t="shared" si="65" ref="AJ30:AJ59">(1/((1+D30/100)^(($A30-1)/12)))*((1+D30/100)^(($A30-1)/12)-1)/((1+D30/100)^(1/12)-1)</f>
        <v>42.23537924113596</v>
      </c>
      <c r="AK30" s="3">
        <f aca="true" t="shared" si="66" ref="AK30:AK59">(1/((1+D30/100)^(($A30-1)/12)))*((1+D30/100)^(($A30-2)/12)-1)/((1+D30/100)^(1/12)-1)</f>
        <v>41.251138769426184</v>
      </c>
      <c r="AL30" s="24">
        <f aca="true" t="shared" si="67" ref="AL30:AL55">1/(((100+D30)/100)^(1/12))</f>
        <v>0.9842404717097668</v>
      </c>
      <c r="AM30" s="28">
        <f aca="true" t="shared" si="68" ref="AM30:AM55">1/(((100+D30)/100)^($A30/12))</f>
        <v>0.31863081771035684</v>
      </c>
    </row>
    <row r="31" spans="1:39" ht="12.75">
      <c r="A31" s="12">
        <f t="shared" si="24"/>
        <v>72</v>
      </c>
      <c r="B31" s="11">
        <f t="shared" si="25"/>
        <v>460</v>
      </c>
      <c r="C31" s="12">
        <f t="shared" si="25"/>
        <v>0</v>
      </c>
      <c r="D31" s="37">
        <v>22</v>
      </c>
      <c r="E31" s="3">
        <f t="shared" si="62"/>
        <v>41.39421612575834</v>
      </c>
      <c r="F31" s="39">
        <f t="shared" si="0"/>
        <v>19818.86858464627</v>
      </c>
      <c r="G31" s="2">
        <f t="shared" si="3"/>
        <v>19818.86858464627</v>
      </c>
      <c r="H31" s="3">
        <f t="shared" si="4"/>
        <v>0</v>
      </c>
      <c r="AH31" s="31">
        <f t="shared" si="63"/>
        <v>41.69749420154475</v>
      </c>
      <c r="AI31" s="3">
        <f t="shared" si="64"/>
        <v>40.71392856424524</v>
      </c>
      <c r="AJ31" s="3">
        <f t="shared" si="65"/>
        <v>41.39421612575834</v>
      </c>
      <c r="AK31" s="3">
        <f t="shared" si="66"/>
        <v>40.41065048845881</v>
      </c>
      <c r="AL31" s="24">
        <f t="shared" si="67"/>
        <v>0.9835656372995122</v>
      </c>
      <c r="AM31" s="28">
        <f t="shared" si="68"/>
        <v>0.30327807578641836</v>
      </c>
    </row>
    <row r="32" spans="1:39" ht="12.75">
      <c r="A32" s="12">
        <f t="shared" si="24"/>
        <v>72</v>
      </c>
      <c r="B32" s="11">
        <f t="shared" si="25"/>
        <v>460</v>
      </c>
      <c r="C32" s="12">
        <f t="shared" si="25"/>
        <v>0</v>
      </c>
      <c r="D32" s="37">
        <v>23</v>
      </c>
      <c r="E32" s="3">
        <f t="shared" si="62"/>
        <v>40.58386903186701</v>
      </c>
      <c r="F32" s="39">
        <f t="shared" si="0"/>
        <v>19408.943263005236</v>
      </c>
      <c r="G32" s="2">
        <f t="shared" si="3"/>
        <v>19408.943263005236</v>
      </c>
      <c r="H32" s="3">
        <f t="shared" si="4"/>
        <v>0</v>
      </c>
      <c r="AH32" s="31">
        <f t="shared" si="63"/>
        <v>40.87265050757502</v>
      </c>
      <c r="AI32" s="3">
        <f t="shared" si="64"/>
        <v>39.88975373872813</v>
      </c>
      <c r="AJ32" s="3">
        <f t="shared" si="65"/>
        <v>40.58386903186701</v>
      </c>
      <c r="AK32" s="3">
        <f t="shared" si="66"/>
        <v>39.60097226302011</v>
      </c>
      <c r="AL32" s="24">
        <f t="shared" si="67"/>
        <v>0.9828967688469065</v>
      </c>
      <c r="AM32" s="28">
        <f t="shared" si="68"/>
        <v>0.2887814757080093</v>
      </c>
    </row>
    <row r="33" spans="1:39" ht="12.75">
      <c r="A33" s="12">
        <f t="shared" si="24"/>
        <v>72</v>
      </c>
      <c r="B33" s="11">
        <f t="shared" si="25"/>
        <v>460</v>
      </c>
      <c r="C33" s="12">
        <f t="shared" si="25"/>
        <v>0</v>
      </c>
      <c r="D33" s="37">
        <v>24</v>
      </c>
      <c r="E33" s="3">
        <f t="shared" si="62"/>
        <v>39.80285683156155</v>
      </c>
      <c r="F33" s="39">
        <f t="shared" si="0"/>
        <v>19014.56814962113</v>
      </c>
      <c r="G33" s="2">
        <f t="shared" si="3"/>
        <v>19014.56814962113</v>
      </c>
      <c r="H33" s="3">
        <f t="shared" si="4"/>
        <v>0</v>
      </c>
      <c r="AH33" s="31">
        <f t="shared" si="63"/>
        <v>40.07794371877864</v>
      </c>
      <c r="AI33" s="3">
        <f t="shared" si="64"/>
        <v>39.09570995303462</v>
      </c>
      <c r="AJ33" s="3">
        <f t="shared" si="65"/>
        <v>39.80285683156155</v>
      </c>
      <c r="AK33" s="3">
        <f t="shared" si="66"/>
        <v>38.82062306581753</v>
      </c>
      <c r="AL33" s="24">
        <f t="shared" si="67"/>
        <v>0.9822337657440158</v>
      </c>
      <c r="AM33" s="28">
        <f t="shared" si="68"/>
        <v>0.27508688721709085</v>
      </c>
    </row>
    <row r="34" spans="1:39" ht="12.75">
      <c r="A34" s="12">
        <f t="shared" si="24"/>
        <v>72</v>
      </c>
      <c r="B34" s="11">
        <f t="shared" si="25"/>
        <v>460</v>
      </c>
      <c r="C34" s="12">
        <f t="shared" si="25"/>
        <v>0</v>
      </c>
      <c r="D34" s="37">
        <v>25</v>
      </c>
      <c r="E34" s="3">
        <f t="shared" si="62"/>
        <v>39.04978404957255</v>
      </c>
      <c r="F34" s="39">
        <f aca="true" t="shared" si="69" ref="F34:F59">$B$5*AL34+$B$6*E34+$B$7*AM34</f>
        <v>18634.972342803376</v>
      </c>
      <c r="G34" s="2">
        <f t="shared" si="3"/>
        <v>18634.972342803376</v>
      </c>
      <c r="H34" s="3">
        <f t="shared" si="4"/>
        <v>0</v>
      </c>
      <c r="AH34" s="31">
        <f t="shared" si="63"/>
        <v>39.31192804957254</v>
      </c>
      <c r="AI34" s="3">
        <f t="shared" si="64"/>
        <v>38.3303515196988</v>
      </c>
      <c r="AJ34" s="3">
        <f t="shared" si="65"/>
        <v>39.04978404957255</v>
      </c>
      <c r="AK34" s="3">
        <f t="shared" si="66"/>
        <v>38.06820751969879</v>
      </c>
      <c r="AL34" s="24">
        <f t="shared" si="67"/>
        <v>0.9815765298737515</v>
      </c>
      <c r="AM34" s="28">
        <f t="shared" si="68"/>
        <v>0.262144</v>
      </c>
    </row>
    <row r="35" spans="1:39" ht="12.75">
      <c r="A35" s="12">
        <f t="shared" si="24"/>
        <v>72</v>
      </c>
      <c r="B35" s="11">
        <f t="shared" si="25"/>
        <v>460</v>
      </c>
      <c r="C35" s="12">
        <f t="shared" si="25"/>
        <v>0</v>
      </c>
      <c r="D35" s="37">
        <v>26</v>
      </c>
      <c r="E35" s="3">
        <f t="shared" si="62"/>
        <v>38.32333514957742</v>
      </c>
      <c r="F35" s="39">
        <f t="shared" si="69"/>
        <v>18269.430744248464</v>
      </c>
      <c r="G35" s="2">
        <f t="shared" si="3"/>
        <v>18269.430744248464</v>
      </c>
      <c r="H35" s="3">
        <f t="shared" si="4"/>
        <v>0</v>
      </c>
      <c r="AH35" s="31">
        <f t="shared" si="63"/>
        <v>38.57324117607878</v>
      </c>
      <c r="AI35" s="3">
        <f t="shared" si="64"/>
        <v>37.592316210549924</v>
      </c>
      <c r="AJ35" s="3">
        <f t="shared" si="65"/>
        <v>38.32333514957742</v>
      </c>
      <c r="AK35" s="3">
        <f t="shared" si="66"/>
        <v>37.34241018404856</v>
      </c>
      <c r="AL35" s="24">
        <f t="shared" si="67"/>
        <v>0.9809249655288533</v>
      </c>
      <c r="AM35" s="28">
        <f t="shared" si="68"/>
        <v>0.24990602650135688</v>
      </c>
    </row>
    <row r="36" spans="1:39" ht="12.75">
      <c r="A36" s="12">
        <f t="shared" si="24"/>
        <v>72</v>
      </c>
      <c r="B36" s="11">
        <f t="shared" si="25"/>
        <v>460</v>
      </c>
      <c r="C36" s="12">
        <f t="shared" si="25"/>
        <v>0</v>
      </c>
      <c r="D36" s="37">
        <v>27</v>
      </c>
      <c r="E36" s="3">
        <f t="shared" si="62"/>
        <v>37.622269249187354</v>
      </c>
      <c r="F36" s="39">
        <f t="shared" si="69"/>
        <v>17917.26093072131</v>
      </c>
      <c r="G36" s="2">
        <f t="shared" si="3"/>
        <v>17917.26093072131</v>
      </c>
      <c r="H36" s="3">
        <f t="shared" si="4"/>
        <v>0</v>
      </c>
      <c r="AH36" s="31">
        <f t="shared" si="63"/>
        <v>37.86059867916107</v>
      </c>
      <c r="AI36" s="3">
        <f t="shared" si="64"/>
        <v>36.88031969982695</v>
      </c>
      <c r="AJ36" s="3">
        <f t="shared" si="65"/>
        <v>37.622269249187354</v>
      </c>
      <c r="AK36" s="3">
        <f t="shared" si="66"/>
        <v>36.64199026985323</v>
      </c>
      <c r="AL36" s="24">
        <f t="shared" si="67"/>
        <v>0.9802789793341232</v>
      </c>
      <c r="AM36" s="28">
        <f t="shared" si="68"/>
        <v>0.23832942997371992</v>
      </c>
    </row>
    <row r="37" spans="1:39" ht="12.75">
      <c r="A37" s="12">
        <f t="shared" si="24"/>
        <v>72</v>
      </c>
      <c r="B37" s="11">
        <f t="shared" si="25"/>
        <v>460</v>
      </c>
      <c r="C37" s="12">
        <f t="shared" si="25"/>
        <v>0</v>
      </c>
      <c r="D37" s="37">
        <v>28</v>
      </c>
      <c r="E37" s="3">
        <f t="shared" si="62"/>
        <v>36.945415228057485</v>
      </c>
      <c r="F37" s="39">
        <f t="shared" si="69"/>
        <v>17577.82026532403</v>
      </c>
      <c r="G37" s="2">
        <f t="shared" si="3"/>
        <v>17577.82026532403</v>
      </c>
      <c r="H37" s="3">
        <f t="shared" si="4"/>
        <v>0</v>
      </c>
      <c r="AH37" s="31">
        <f t="shared" si="63"/>
        <v>37.17278890350072</v>
      </c>
      <c r="AI37" s="3">
        <f t="shared" si="64"/>
        <v>36.193150423328966</v>
      </c>
      <c r="AJ37" s="3">
        <f t="shared" si="65"/>
        <v>36.945415228057485</v>
      </c>
      <c r="AK37" s="3">
        <f t="shared" si="66"/>
        <v>35.96577674788571</v>
      </c>
      <c r="AL37" s="24">
        <f t="shared" si="67"/>
        <v>0.9796384801717632</v>
      </c>
      <c r="AM37" s="28">
        <f t="shared" si="68"/>
        <v>0.22737367544323206</v>
      </c>
    </row>
    <row r="38" spans="1:39" ht="12.75">
      <c r="A38" s="12">
        <f t="shared" si="24"/>
        <v>72</v>
      </c>
      <c r="B38" s="11">
        <f t="shared" si="25"/>
        <v>460</v>
      </c>
      <c r="C38" s="12">
        <f t="shared" si="25"/>
        <v>0</v>
      </c>
      <c r="D38" s="37">
        <v>29</v>
      </c>
      <c r="E38" s="3">
        <f t="shared" si="62"/>
        <v>36.29166719677211</v>
      </c>
      <c r="F38" s="39">
        <f t="shared" si="69"/>
        <v>17250.503228112724</v>
      </c>
      <c r="G38" s="2">
        <f t="shared" si="3"/>
        <v>17250.503228112724</v>
      </c>
      <c r="H38" s="3">
        <f t="shared" si="4"/>
        <v>0</v>
      </c>
      <c r="AH38" s="31">
        <f t="shared" si="63"/>
        <v>36.508668198272865</v>
      </c>
      <c r="AI38" s="3">
        <f t="shared" si="64"/>
        <v>35.529664819163195</v>
      </c>
      <c r="AJ38" s="3">
        <f t="shared" si="65"/>
        <v>36.29166719677211</v>
      </c>
      <c r="AK38" s="3">
        <f t="shared" si="66"/>
        <v>35.31266381766244</v>
      </c>
      <c r="AL38" s="24">
        <f t="shared" si="67"/>
        <v>0.9790033791096628</v>
      </c>
      <c r="AM38" s="28">
        <f t="shared" si="68"/>
        <v>0.21700100150075288</v>
      </c>
    </row>
    <row r="39" spans="1:39" ht="12.75">
      <c r="A39" s="12">
        <f t="shared" si="24"/>
        <v>72</v>
      </c>
      <c r="B39" s="11">
        <f t="shared" si="25"/>
        <v>460</v>
      </c>
      <c r="C39" s="12">
        <f t="shared" si="25"/>
        <v>0</v>
      </c>
      <c r="D39" s="37">
        <v>30</v>
      </c>
      <c r="E39" s="3">
        <f t="shared" si="62"/>
        <v>35.659980297076594</v>
      </c>
      <c r="F39" s="39">
        <f t="shared" si="69"/>
        <v>16934.738947691094</v>
      </c>
      <c r="G39" s="2">
        <f t="shared" si="3"/>
        <v>16934.738947691094</v>
      </c>
      <c r="H39" s="3">
        <f t="shared" si="4"/>
        <v>0</v>
      </c>
      <c r="AH39" s="31">
        <f t="shared" si="63"/>
        <v>35.867156508109595</v>
      </c>
      <c r="AI39" s="3">
        <f t="shared" si="64"/>
        <v>34.88878291877708</v>
      </c>
      <c r="AJ39" s="3">
        <f t="shared" si="65"/>
        <v>35.659980297076594</v>
      </c>
      <c r="AK39" s="3">
        <f t="shared" si="66"/>
        <v>34.681606707744095</v>
      </c>
      <c r="AL39" s="24">
        <f t="shared" si="67"/>
        <v>0.9783735893325011</v>
      </c>
      <c r="AM39" s="28">
        <f t="shared" si="68"/>
        <v>0.2071762110330033</v>
      </c>
    </row>
    <row r="40" spans="1:39" ht="12.75">
      <c r="A40" s="12">
        <f t="shared" si="24"/>
        <v>72</v>
      </c>
      <c r="B40" s="11">
        <f t="shared" si="25"/>
        <v>460</v>
      </c>
      <c r="C40" s="12">
        <f t="shared" si="25"/>
        <v>0</v>
      </c>
      <c r="D40" s="37">
        <v>31</v>
      </c>
      <c r="E40" s="3">
        <f t="shared" si="62"/>
        <v>35.04936680664515</v>
      </c>
      <c r="F40" s="39">
        <f t="shared" si="69"/>
        <v>16629.988917084727</v>
      </c>
      <c r="G40" s="2">
        <f t="shared" si="3"/>
        <v>16629.988917084727</v>
      </c>
      <c r="H40" s="3">
        <f t="shared" si="4"/>
        <v>0</v>
      </c>
      <c r="AH40" s="31">
        <f t="shared" si="63"/>
        <v>35.24723328583695</v>
      </c>
      <c r="AI40" s="3">
        <f t="shared" si="64"/>
        <v>34.269484259761406</v>
      </c>
      <c r="AJ40" s="3">
        <f t="shared" si="65"/>
        <v>35.04936680664515</v>
      </c>
      <c r="AK40" s="3">
        <f t="shared" si="66"/>
        <v>34.0716177805696</v>
      </c>
      <c r="AL40" s="24">
        <f t="shared" si="67"/>
        <v>0.9777490260755329</v>
      </c>
      <c r="AM40" s="28">
        <f t="shared" si="68"/>
        <v>0.19786647919179182</v>
      </c>
    </row>
    <row r="41" spans="1:39" ht="12.75">
      <c r="A41" s="12">
        <f t="shared" si="24"/>
        <v>72</v>
      </c>
      <c r="B41" s="11">
        <f t="shared" si="25"/>
        <v>460</v>
      </c>
      <c r="C41" s="12">
        <f t="shared" si="25"/>
        <v>0</v>
      </c>
      <c r="D41" s="37">
        <v>32</v>
      </c>
      <c r="E41" s="3">
        <f t="shared" si="62"/>
        <v>34.458892523941806</v>
      </c>
      <c r="F41" s="39">
        <f t="shared" si="69"/>
        <v>16335.744878710637</v>
      </c>
      <c r="G41" s="2">
        <f t="shared" si="3"/>
        <v>16335.744878710637</v>
      </c>
      <c r="H41" s="3">
        <f t="shared" si="4"/>
        <v>0</v>
      </c>
      <c r="AH41" s="31">
        <f t="shared" si="63"/>
        <v>34.64793370100564</v>
      </c>
      <c r="AI41" s="3">
        <f t="shared" si="64"/>
        <v>33.67080409444472</v>
      </c>
      <c r="AJ41" s="3">
        <f t="shared" si="65"/>
        <v>34.458892523941806</v>
      </c>
      <c r="AK41" s="3">
        <f t="shared" si="66"/>
        <v>33.48176291738087</v>
      </c>
      <c r="AL41" s="24">
        <f t="shared" si="67"/>
        <v>0.9771296065609323</v>
      </c>
      <c r="AM41" s="28">
        <f t="shared" si="68"/>
        <v>0.18904117706383466</v>
      </c>
    </row>
    <row r="42" spans="1:39" ht="12.75">
      <c r="A42" s="12">
        <f t="shared" si="24"/>
        <v>72</v>
      </c>
      <c r="B42" s="11">
        <f t="shared" si="25"/>
        <v>460</v>
      </c>
      <c r="C42" s="12">
        <f t="shared" si="25"/>
        <v>0</v>
      </c>
      <c r="D42" s="37">
        <v>33</v>
      </c>
      <c r="E42" s="3">
        <f t="shared" si="62"/>
        <v>33.88767341088451</v>
      </c>
      <c r="F42" s="39">
        <f t="shared" si="69"/>
        <v>16051.526864624984</v>
      </c>
      <c r="G42" s="2">
        <f t="shared" si="3"/>
        <v>16051.526864624984</v>
      </c>
      <c r="H42" s="3">
        <f t="shared" si="4"/>
        <v>0</v>
      </c>
      <c r="AH42" s="31">
        <f t="shared" si="63"/>
        <v>34.06834512053565</v>
      </c>
      <c r="AI42" s="3">
        <f t="shared" si="64"/>
        <v>33.09182987059908</v>
      </c>
      <c r="AJ42" s="3">
        <f t="shared" si="65"/>
        <v>33.88767341088451</v>
      </c>
      <c r="AK42" s="3">
        <f t="shared" si="66"/>
        <v>32.91115816094793</v>
      </c>
      <c r="AL42" s="24">
        <f t="shared" si="67"/>
        <v>0.9765152499365796</v>
      </c>
      <c r="AM42" s="28">
        <f t="shared" si="68"/>
        <v>0.18067170965114002</v>
      </c>
    </row>
    <row r="43" spans="1:39" ht="12.75">
      <c r="A43" s="12">
        <f t="shared" si="24"/>
        <v>72</v>
      </c>
      <c r="B43" s="11">
        <f t="shared" si="25"/>
        <v>460</v>
      </c>
      <c r="C43" s="12">
        <f t="shared" si="25"/>
        <v>0</v>
      </c>
      <c r="D43" s="37">
        <v>34</v>
      </c>
      <c r="E43" s="3">
        <f t="shared" si="62"/>
        <v>33.33487247294416</v>
      </c>
      <c r="F43" s="39">
        <f t="shared" si="69"/>
        <v>15776.881379455132</v>
      </c>
      <c r="G43" s="2">
        <f t="shared" si="3"/>
        <v>15776.881379455132</v>
      </c>
      <c r="H43" s="3">
        <f t="shared" si="4"/>
        <v>0</v>
      </c>
      <c r="AH43" s="31">
        <f t="shared" si="63"/>
        <v>33.50760383984843</v>
      </c>
      <c r="AI43" s="3">
        <f t="shared" si="64"/>
        <v>32.53169796263125</v>
      </c>
      <c r="AJ43" s="3">
        <f t="shared" si="65"/>
        <v>33.33487247294416</v>
      </c>
      <c r="AK43" s="3">
        <f t="shared" si="66"/>
        <v>32.358966595726976</v>
      </c>
      <c r="AL43" s="24">
        <f t="shared" si="67"/>
        <v>0.9759058772171757</v>
      </c>
      <c r="AM43" s="28">
        <f t="shared" si="68"/>
        <v>0.17273136690426752</v>
      </c>
    </row>
    <row r="44" spans="1:39" ht="12.75">
      <c r="A44" s="12">
        <f t="shared" si="24"/>
        <v>72</v>
      </c>
      <c r="B44" s="11">
        <f t="shared" si="25"/>
        <v>460</v>
      </c>
      <c r="C44" s="12">
        <f t="shared" si="25"/>
        <v>0</v>
      </c>
      <c r="D44" s="37">
        <v>35</v>
      </c>
      <c r="E44" s="3">
        <f t="shared" si="62"/>
        <v>32.79969685809355</v>
      </c>
      <c r="F44" s="39">
        <f t="shared" si="69"/>
        <v>15511.379714547333</v>
      </c>
      <c r="G44" s="2">
        <f t="shared" si="3"/>
        <v>15511.379714547333</v>
      </c>
      <c r="H44" s="3">
        <f t="shared" si="4"/>
        <v>0</v>
      </c>
      <c r="AH44" s="31">
        <f t="shared" si="63"/>
        <v>32.96489204476318</v>
      </c>
      <c r="AI44" s="3">
        <f t="shared" si="64"/>
        <v>31.98959063353561</v>
      </c>
      <c r="AJ44" s="3">
        <f t="shared" si="65"/>
        <v>32.79969685809355</v>
      </c>
      <c r="AK44" s="3">
        <f t="shared" si="66"/>
        <v>31.824395446865957</v>
      </c>
      <c r="AL44" s="24">
        <f t="shared" si="67"/>
        <v>0.9753014112275845</v>
      </c>
      <c r="AM44" s="28">
        <f t="shared" si="68"/>
        <v>0.16519518666964456</v>
      </c>
    </row>
    <row r="45" spans="1:39" ht="12.75">
      <c r="A45" s="12">
        <f t="shared" si="24"/>
        <v>72</v>
      </c>
      <c r="B45" s="11">
        <f t="shared" si="25"/>
        <v>460</v>
      </c>
      <c r="C45" s="12">
        <f t="shared" si="25"/>
        <v>0</v>
      </c>
      <c r="D45" s="37">
        <v>36</v>
      </c>
      <c r="E45" s="3">
        <f t="shared" si="62"/>
        <v>32.281395157586175</v>
      </c>
      <c r="F45" s="39">
        <f t="shared" si="69"/>
        <v>15254.61638285517</v>
      </c>
      <c r="G45" s="2">
        <f t="shared" si="3"/>
        <v>15254.61638285517</v>
      </c>
      <c r="H45" s="3">
        <f t="shared" si="4"/>
        <v>0</v>
      </c>
      <c r="AH45" s="31">
        <f t="shared" si="63"/>
        <v>32.439434986105155</v>
      </c>
      <c r="AI45" s="3">
        <f t="shared" si="64"/>
        <v>31.46473320955687</v>
      </c>
      <c r="AJ45" s="3">
        <f t="shared" si="65"/>
        <v>32.281395157586175</v>
      </c>
      <c r="AK45" s="3">
        <f t="shared" si="66"/>
        <v>31.306693381037874</v>
      </c>
      <c r="AL45" s="24">
        <f t="shared" si="67"/>
        <v>0.9747017765482976</v>
      </c>
      <c r="AM45" s="28">
        <f t="shared" si="68"/>
        <v>0.15803982851897794</v>
      </c>
    </row>
    <row r="46" spans="1:39" ht="12.75">
      <c r="A46" s="12">
        <f t="shared" si="24"/>
        <v>72</v>
      </c>
      <c r="B46" s="11">
        <f t="shared" si="25"/>
        <v>460</v>
      </c>
      <c r="C46" s="12">
        <f t="shared" si="25"/>
        <v>0</v>
      </c>
      <c r="D46" s="37">
        <v>37</v>
      </c>
      <c r="E46" s="3">
        <f t="shared" si="62"/>
        <v>31.779254893015445</v>
      </c>
      <c r="F46" s="39">
        <f t="shared" si="69"/>
        <v>15006.207665016673</v>
      </c>
      <c r="G46" s="2">
        <f t="shared" si="3"/>
        <v>15006.207665016673</v>
      </c>
      <c r="H46" s="3">
        <f t="shared" si="4"/>
        <v>0</v>
      </c>
      <c r="AH46" s="31">
        <f t="shared" si="63"/>
        <v>31.930498350540383</v>
      </c>
      <c r="AI46" s="3">
        <f t="shared" si="64"/>
        <v>30.95639145107745</v>
      </c>
      <c r="AJ46" s="3">
        <f t="shared" si="65"/>
        <v>31.779254893015445</v>
      </c>
      <c r="AK46" s="3">
        <f t="shared" si="66"/>
        <v>30.805147993552506</v>
      </c>
      <c r="AL46" s="24">
        <f t="shared" si="67"/>
        <v>0.974106899462931</v>
      </c>
      <c r="AM46" s="28">
        <f t="shared" si="68"/>
        <v>0.15124345752494125</v>
      </c>
    </row>
    <row r="47" spans="1:39" ht="12.75">
      <c r="A47" s="12">
        <f t="shared" si="24"/>
        <v>72</v>
      </c>
      <c r="B47" s="11">
        <f t="shared" si="25"/>
        <v>460</v>
      </c>
      <c r="C47" s="12">
        <f t="shared" si="25"/>
        <v>0</v>
      </c>
      <c r="D47" s="37">
        <v>38</v>
      </c>
      <c r="E47" s="3">
        <f t="shared" si="62"/>
        <v>31.292600175396213</v>
      </c>
      <c r="F47" s="39">
        <f t="shared" si="69"/>
        <v>14765.790257884231</v>
      </c>
      <c r="G47" s="2">
        <f t="shared" si="3"/>
        <v>14765.790257884231</v>
      </c>
      <c r="H47" s="3">
        <f t="shared" si="4"/>
        <v>0</v>
      </c>
      <c r="AH47" s="31">
        <f t="shared" si="63"/>
        <v>31.43738581253009</v>
      </c>
      <c r="AI47" s="3">
        <f t="shared" si="64"/>
        <v>30.46386910462243</v>
      </c>
      <c r="AJ47" s="3">
        <f t="shared" si="65"/>
        <v>31.292600175396213</v>
      </c>
      <c r="AK47" s="3">
        <f t="shared" si="66"/>
        <v>30.31908346748855</v>
      </c>
      <c r="AL47" s="24">
        <f t="shared" si="67"/>
        <v>0.9735167079076613</v>
      </c>
      <c r="AM47" s="28">
        <f t="shared" si="68"/>
        <v>0.14478563713387496</v>
      </c>
    </row>
    <row r="48" spans="1:39" ht="12.75">
      <c r="A48" s="12">
        <f t="shared" si="24"/>
        <v>72</v>
      </c>
      <c r="B48" s="11">
        <f t="shared" si="25"/>
        <v>460</v>
      </c>
      <c r="C48" s="12">
        <f t="shared" si="25"/>
        <v>0</v>
      </c>
      <c r="D48" s="37">
        <v>39</v>
      </c>
      <c r="E48" s="3">
        <f t="shared" si="62"/>
        <v>30.820789523220597</v>
      </c>
      <c r="F48" s="39">
        <f t="shared" si="69"/>
        <v>14533.020017527795</v>
      </c>
      <c r="G48" s="2">
        <f t="shared" si="3"/>
        <v>14533.020017527795</v>
      </c>
      <c r="H48" s="3">
        <f t="shared" si="4"/>
        <v>0</v>
      </c>
      <c r="AH48" s="31">
        <f t="shared" si="63"/>
        <v>30.959436753584843</v>
      </c>
      <c r="AI48" s="3">
        <f t="shared" si="64"/>
        <v>29.986505622162316</v>
      </c>
      <c r="AJ48" s="3">
        <f t="shared" si="65"/>
        <v>30.820789523220597</v>
      </c>
      <c r="AK48" s="3">
        <f t="shared" si="66"/>
        <v>29.84785839179808</v>
      </c>
      <c r="AL48" s="24">
        <f t="shared" si="67"/>
        <v>0.9729311314225184</v>
      </c>
      <c r="AM48" s="28">
        <f t="shared" si="68"/>
        <v>0.13864723036424045</v>
      </c>
    </row>
    <row r="49" spans="1:39" ht="12.75">
      <c r="A49" s="12">
        <f t="shared" si="24"/>
        <v>72</v>
      </c>
      <c r="B49" s="11">
        <f t="shared" si="25"/>
        <v>460</v>
      </c>
      <c r="C49" s="12">
        <f t="shared" si="25"/>
        <v>0</v>
      </c>
      <c r="D49" s="37">
        <v>40</v>
      </c>
      <c r="E49" s="3">
        <f t="shared" si="62"/>
        <v>30.36321382750811</v>
      </c>
      <c r="F49" s="39">
        <f t="shared" si="69"/>
        <v>14307.570789403655</v>
      </c>
      <c r="G49" s="2">
        <f t="shared" si="3"/>
        <v>14307.570789403655</v>
      </c>
      <c r="H49" s="3">
        <f t="shared" si="4"/>
        <v>0</v>
      </c>
      <c r="AH49" s="31">
        <f t="shared" si="63"/>
        <v>30.496024136138015</v>
      </c>
      <c r="AI49" s="3">
        <f t="shared" si="64"/>
        <v>29.523674035033576</v>
      </c>
      <c r="AJ49" s="3">
        <f t="shared" si="65"/>
        <v>30.36321382750811</v>
      </c>
      <c r="AK49" s="3">
        <f t="shared" si="66"/>
        <v>29.39086372640365</v>
      </c>
      <c r="AL49" s="24">
        <f t="shared" si="67"/>
        <v>0.9723501011044507</v>
      </c>
      <c r="AM49" s="28">
        <f t="shared" si="68"/>
        <v>0.13281030862990767</v>
      </c>
    </row>
    <row r="50" spans="1:39" ht="12.75">
      <c r="A50" s="12">
        <f t="shared" si="24"/>
        <v>72</v>
      </c>
      <c r="B50" s="11">
        <f t="shared" si="25"/>
        <v>460</v>
      </c>
      <c r="C50" s="12">
        <f t="shared" si="25"/>
        <v>0</v>
      </c>
      <c r="D50" s="37">
        <v>41</v>
      </c>
      <c r="E50" s="3">
        <f t="shared" si="62"/>
        <v>29.91929445287343</v>
      </c>
      <c r="F50" s="39">
        <f t="shared" si="69"/>
        <v>14089.133319005225</v>
      </c>
      <c r="G50" s="2">
        <f t="shared" si="3"/>
        <v>14089.133319005225</v>
      </c>
      <c r="H50" s="3">
        <f t="shared" si="4"/>
        <v>0</v>
      </c>
      <c r="AH50" s="31">
        <f t="shared" si="63"/>
        <v>30.046552520424267</v>
      </c>
      <c r="AI50" s="3">
        <f t="shared" si="64"/>
        <v>29.07477897086218</v>
      </c>
      <c r="AJ50" s="3">
        <f t="shared" si="65"/>
        <v>29.91929445287343</v>
      </c>
      <c r="AK50" s="3">
        <f t="shared" si="66"/>
        <v>28.947520903311336</v>
      </c>
      <c r="AL50" s="24">
        <f t="shared" si="67"/>
        <v>0.9717735495620903</v>
      </c>
      <c r="AM50" s="28">
        <f t="shared" si="68"/>
        <v>0.12725806755083274</v>
      </c>
    </row>
    <row r="51" spans="1:39" ht="12.75">
      <c r="A51" s="12">
        <f t="shared" si="24"/>
        <v>72</v>
      </c>
      <c r="B51" s="11">
        <f t="shared" si="25"/>
        <v>460</v>
      </c>
      <c r="C51" s="12">
        <f t="shared" si="25"/>
        <v>0</v>
      </c>
      <c r="D51" s="37">
        <v>42</v>
      </c>
      <c r="E51" s="3">
        <f t="shared" si="62"/>
        <v>29.48848146451713</v>
      </c>
      <c r="F51" s="39">
        <f t="shared" si="69"/>
        <v>13877.414236865074</v>
      </c>
      <c r="G51" s="2">
        <f t="shared" si="3"/>
        <v>13877.414236865074</v>
      </c>
      <c r="H51" s="3">
        <f t="shared" si="4"/>
        <v>0</v>
      </c>
      <c r="AH51" s="31">
        <f t="shared" si="63"/>
        <v>29.610456213688146</v>
      </c>
      <c r="AI51" s="3">
        <f t="shared" si="64"/>
        <v>28.63925480281601</v>
      </c>
      <c r="AJ51" s="3">
        <f t="shared" si="65"/>
        <v>29.48848146451713</v>
      </c>
      <c r="AK51" s="3">
        <f t="shared" si="66"/>
        <v>28.517280053644978</v>
      </c>
      <c r="AL51" s="24">
        <f t="shared" si="67"/>
        <v>0.9712014108721407</v>
      </c>
      <c r="AM51" s="28">
        <f t="shared" si="68"/>
        <v>0.12197474917101674</v>
      </c>
    </row>
    <row r="52" spans="1:39" ht="12.75">
      <c r="A52" s="12">
        <f t="shared" si="24"/>
        <v>72</v>
      </c>
      <c r="B52" s="11">
        <f t="shared" si="25"/>
        <v>460</v>
      </c>
      <c r="C52" s="12">
        <f t="shared" si="25"/>
        <v>0</v>
      </c>
      <c r="D52" s="37">
        <v>43</v>
      </c>
      <c r="E52" s="3">
        <f t="shared" si="62"/>
        <v>29.070251971878694</v>
      </c>
      <c r="F52" s="39">
        <f t="shared" si="69"/>
        <v>13672.13511229386</v>
      </c>
      <c r="G52" s="2">
        <f t="shared" si="3"/>
        <v>13672.13511229386</v>
      </c>
      <c r="H52" s="3">
        <f t="shared" si="4"/>
        <v>0</v>
      </c>
      <c r="AH52" s="31">
        <f t="shared" si="63"/>
        <v>29.187197541934147</v>
      </c>
      <c r="AI52" s="3">
        <f t="shared" si="64"/>
        <v>28.216563921396826</v>
      </c>
      <c r="AJ52" s="3">
        <f t="shared" si="65"/>
        <v>29.070251971878694</v>
      </c>
      <c r="AK52" s="3">
        <f t="shared" si="66"/>
        <v>28.099618351341366</v>
      </c>
      <c r="AL52" s="24">
        <f t="shared" si="67"/>
        <v>0.9706336205373214</v>
      </c>
      <c r="AM52" s="28">
        <f t="shared" si="68"/>
        <v>0.11694557005545023</v>
      </c>
    </row>
    <row r="53" spans="1:39" ht="12.75">
      <c r="A53" s="12">
        <f t="shared" si="24"/>
        <v>72</v>
      </c>
      <c r="B53" s="11">
        <f t="shared" si="25"/>
        <v>460</v>
      </c>
      <c r="C53" s="12">
        <f t="shared" si="25"/>
        <v>0</v>
      </c>
      <c r="D53" s="37">
        <v>44</v>
      </c>
      <c r="E53" s="3">
        <f t="shared" si="62"/>
        <v>28.66410858042578</v>
      </c>
      <c r="F53" s="39">
        <f t="shared" si="69"/>
        <v>13473.031570699915</v>
      </c>
      <c r="G53" s="2">
        <f t="shared" si="3"/>
        <v>13473.031570699915</v>
      </c>
      <c r="H53" s="3">
        <f t="shared" si="4"/>
        <v>0</v>
      </c>
      <c r="AH53" s="31">
        <f t="shared" si="63"/>
        <v>28.776265235210392</v>
      </c>
      <c r="AI53" s="3">
        <f t="shared" si="64"/>
        <v>27.806195119764602</v>
      </c>
      <c r="AJ53" s="3">
        <f t="shared" si="65"/>
        <v>28.66410858042578</v>
      </c>
      <c r="AK53" s="3">
        <f t="shared" si="66"/>
        <v>27.69403846497997</v>
      </c>
      <c r="AL53" s="24">
        <f t="shared" si="67"/>
        <v>0.9700701154458005</v>
      </c>
      <c r="AM53" s="28">
        <f t="shared" si="68"/>
        <v>0.11215665478461512</v>
      </c>
    </row>
    <row r="54" spans="1:39" ht="12.75">
      <c r="A54" s="12">
        <f t="shared" si="24"/>
        <v>72</v>
      </c>
      <c r="B54" s="11">
        <f t="shared" si="25"/>
        <v>460</v>
      </c>
      <c r="C54" s="12">
        <f t="shared" si="25"/>
        <v>0</v>
      </c>
      <c r="D54" s="37">
        <v>45</v>
      </c>
      <c r="E54" s="3">
        <f t="shared" si="62"/>
        <v>28.269577943745567</v>
      </c>
      <c r="F54" s="39">
        <f t="shared" si="69"/>
        <v>13279.852469760279</v>
      </c>
      <c r="G54" s="2">
        <f t="shared" si="3"/>
        <v>13279.852469760279</v>
      </c>
      <c r="H54" s="3">
        <f t="shared" si="4"/>
        <v>0</v>
      </c>
      <c r="AH54" s="31">
        <f t="shared" si="63"/>
        <v>28.377172918153104</v>
      </c>
      <c r="AI54" s="3">
        <f t="shared" si="64"/>
        <v>27.40766208432105</v>
      </c>
      <c r="AJ54" s="3">
        <f t="shared" si="65"/>
        <v>28.269577943745567</v>
      </c>
      <c r="AK54" s="3">
        <f t="shared" si="66"/>
        <v>27.3000671099135</v>
      </c>
      <c r="AL54" s="24">
        <f t="shared" si="67"/>
        <v>0.9695108338320554</v>
      </c>
      <c r="AM54" s="28">
        <f t="shared" si="68"/>
        <v>0.10759497440753504</v>
      </c>
    </row>
    <row r="55" spans="1:39" ht="12.75">
      <c r="A55" s="12">
        <f t="shared" si="24"/>
        <v>72</v>
      </c>
      <c r="B55" s="11">
        <f t="shared" si="25"/>
        <v>460</v>
      </c>
      <c r="C55" s="12">
        <f t="shared" si="25"/>
        <v>0</v>
      </c>
      <c r="D55" s="37">
        <v>46</v>
      </c>
      <c r="E55" s="3">
        <f t="shared" si="62"/>
        <v>27.886209408717015</v>
      </c>
      <c r="F55" s="39">
        <f t="shared" si="69"/>
        <v>13092.359130094406</v>
      </c>
      <c r="G55" s="2">
        <f t="shared" si="3"/>
        <v>13092.359130094406</v>
      </c>
      <c r="H55" s="3">
        <f t="shared" si="4"/>
        <v>0</v>
      </c>
      <c r="AH55" s="31">
        <f t="shared" si="63"/>
        <v>27.9894576981698</v>
      </c>
      <c r="AI55" s="3">
        <f t="shared" si="64"/>
        <v>27.020501982930714</v>
      </c>
      <c r="AJ55" s="3">
        <f t="shared" si="65"/>
        <v>27.886209408717015</v>
      </c>
      <c r="AK55" s="3">
        <f t="shared" si="66"/>
        <v>26.917253693477907</v>
      </c>
      <c r="AL55" s="24">
        <f t="shared" si="67"/>
        <v>0.9689557152390995</v>
      </c>
      <c r="AM55" s="28">
        <f t="shared" si="68"/>
        <v>0.10324828945278547</v>
      </c>
    </row>
    <row r="56" spans="1:39" ht="12.75">
      <c r="A56" s="12">
        <f t="shared" si="24"/>
        <v>72</v>
      </c>
      <c r="B56" s="11">
        <f t="shared" si="25"/>
        <v>460</v>
      </c>
      <c r="C56" s="12">
        <f t="shared" si="25"/>
        <v>0</v>
      </c>
      <c r="D56" s="37">
        <v>47</v>
      </c>
      <c r="E56" s="3">
        <f t="shared" si="62"/>
        <v>27.513573747121168</v>
      </c>
      <c r="F56" s="39">
        <f t="shared" si="69"/>
        <v>12910.324616447131</v>
      </c>
      <c r="G56" s="2">
        <f t="shared" si="3"/>
        <v>12910.324616447131</v>
      </c>
      <c r="H56" s="3">
        <f t="shared" si="4"/>
        <v>0</v>
      </c>
      <c r="AH56" s="31">
        <f t="shared" si="63"/>
        <v>27.612678844252866</v>
      </c>
      <c r="AI56" s="3">
        <f t="shared" si="64"/>
        <v>26.64427414377085</v>
      </c>
      <c r="AJ56" s="3">
        <f t="shared" si="65"/>
        <v>27.513573747121168</v>
      </c>
      <c r="AK56" s="3">
        <f t="shared" si="66"/>
        <v>26.54516904663913</v>
      </c>
      <c r="AL56" s="24">
        <f>1/(((100+D56)/100)^(1/12))</f>
        <v>0.9684047004820201</v>
      </c>
      <c r="AM56" s="28">
        <f>1/(((100+D56)/100)^($A56/12))</f>
        <v>0.09910509713169947</v>
      </c>
    </row>
    <row r="57" spans="1:39" ht="12.75">
      <c r="A57" s="12">
        <f t="shared" si="24"/>
        <v>72</v>
      </c>
      <c r="B57" s="11">
        <f t="shared" si="25"/>
        <v>460</v>
      </c>
      <c r="C57" s="12">
        <f t="shared" si="25"/>
        <v>0</v>
      </c>
      <c r="D57" s="37">
        <v>48</v>
      </c>
      <c r="E57" s="3">
        <f t="shared" si="62"/>
        <v>27.15126196755717</v>
      </c>
      <c r="F57" s="39">
        <f t="shared" si="69"/>
        <v>12733.533065703252</v>
      </c>
      <c r="G57" s="2">
        <f t="shared" si="3"/>
        <v>12733.533065703252</v>
      </c>
      <c r="H57" s="3">
        <f t="shared" si="4"/>
        <v>0</v>
      </c>
      <c r="AH57" s="31">
        <f t="shared" si="63"/>
        <v>27.246416549956763</v>
      </c>
      <c r="AI57" s="3">
        <f t="shared" si="64"/>
        <v>26.278558818343992</v>
      </c>
      <c r="AJ57" s="3">
        <f t="shared" si="65"/>
        <v>27.15126196755717</v>
      </c>
      <c r="AK57" s="3">
        <f t="shared" si="66"/>
        <v>26.18340423594439</v>
      </c>
      <c r="AL57" s="24">
        <f>1/(((100+D57)/100)^(1/12))</f>
        <v>0.9678577316127712</v>
      </c>
      <c r="AM57" s="28">
        <f>1/(((100+D57)/100)^($A57/12))</f>
        <v>0.0951545823995921</v>
      </c>
    </row>
    <row r="58" spans="1:39" ht="12.75">
      <c r="A58" s="12">
        <f t="shared" si="24"/>
        <v>72</v>
      </c>
      <c r="B58" s="11">
        <f t="shared" si="25"/>
        <v>460</v>
      </c>
      <c r="C58" s="12">
        <f t="shared" si="25"/>
        <v>0</v>
      </c>
      <c r="D58" s="37">
        <v>49</v>
      </c>
      <c r="E58" s="3">
        <f t="shared" si="62"/>
        <v>26.79888420201846</v>
      </c>
      <c r="F58" s="39">
        <f t="shared" si="69"/>
        <v>12561.779058353524</v>
      </c>
      <c r="G58" s="2">
        <f t="shared" si="3"/>
        <v>12561.779058353524</v>
      </c>
      <c r="H58" s="3">
        <f t="shared" si="4"/>
        <v>0</v>
      </c>
      <c r="AH58" s="31">
        <f t="shared" si="63"/>
        <v>26.89027077458795</v>
      </c>
      <c r="AI58" s="3">
        <f t="shared" si="64"/>
        <v>25.92295602270178</v>
      </c>
      <c r="AJ58" s="3">
        <f t="shared" si="65"/>
        <v>26.79888420201846</v>
      </c>
      <c r="AK58" s="3">
        <f t="shared" si="66"/>
        <v>25.831569450132278</v>
      </c>
      <c r="AL58" s="24">
        <f>1/(((100+D58)/100)^(1/12))</f>
        <v>0.9673147518861733</v>
      </c>
      <c r="AM58" s="28">
        <f>1/(((100+D58)/100)^($A58/12))</f>
        <v>0.09138657256949129</v>
      </c>
    </row>
    <row r="59" spans="1:39" ht="12.75">
      <c r="A59" s="12">
        <f t="shared" si="24"/>
        <v>72</v>
      </c>
      <c r="B59" s="11">
        <f t="shared" si="25"/>
        <v>460</v>
      </c>
      <c r="C59" s="12">
        <f t="shared" si="25"/>
        <v>0</v>
      </c>
      <c r="D59" s="37">
        <v>50</v>
      </c>
      <c r="E59" s="3">
        <f t="shared" si="62"/>
        <v>26.456068661907807</v>
      </c>
      <c r="F59" s="39">
        <f t="shared" si="69"/>
        <v>12394.867030293777</v>
      </c>
      <c r="G59" s="2">
        <f t="shared" si="3"/>
        <v>12394.867030293777</v>
      </c>
      <c r="H59" s="3">
        <f t="shared" si="4"/>
        <v>50</v>
      </c>
      <c r="AH59" s="31">
        <f t="shared" si="63"/>
        <v>26.543860157106703</v>
      </c>
      <c r="AI59" s="3">
        <f t="shared" si="64"/>
        <v>25.577084451379637</v>
      </c>
      <c r="AJ59" s="3">
        <f t="shared" si="65"/>
        <v>26.456068661907807</v>
      </c>
      <c r="AK59" s="3">
        <f t="shared" si="66"/>
        <v>25.489292956180737</v>
      </c>
      <c r="AL59" s="24">
        <f>1/(((100+D59)/100)^(1/12))</f>
        <v>0.9667757057270663</v>
      </c>
      <c r="AM59" s="28">
        <f>1/(((100+D59)/100)^($A59/12))</f>
        <v>0.0877914951989026</v>
      </c>
    </row>
  </sheetData>
  <sheetProtection password="CA55" sheet="1" objects="1" scenarios="1"/>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B59"/>
  <sheetViews>
    <sheetView workbookViewId="0" topLeftCell="X1">
      <selection activeCell="AB5" sqref="AB5"/>
    </sheetView>
  </sheetViews>
  <sheetFormatPr defaultColWidth="11.421875" defaultRowHeight="12.75"/>
  <cols>
    <col min="1" max="1" width="3.00390625" style="14" customWidth="1"/>
    <col min="2" max="2" width="6.57421875" style="13" customWidth="1"/>
    <col min="3" max="3" width="8.140625" style="19" customWidth="1"/>
    <col min="4" max="4" width="3.00390625" style="19" customWidth="1"/>
    <col min="5" max="5" width="5.57421875" style="3" customWidth="1"/>
    <col min="6" max="7" width="6.57421875" style="3" bestFit="1" customWidth="1"/>
    <col min="8" max="8" width="5.57421875" style="3" customWidth="1"/>
    <col min="9" max="9" width="4.57421875" style="21" customWidth="1"/>
    <col min="10" max="10" width="7.28125" style="3" customWidth="1"/>
    <col min="11" max="11" width="6.57421875" style="3" bestFit="1" customWidth="1"/>
    <col min="12" max="12" width="5.57421875" style="3" bestFit="1" customWidth="1"/>
    <col min="13" max="13" width="5.8515625" style="3" customWidth="1"/>
    <col min="14" max="14" width="5.57421875" style="3" customWidth="1"/>
    <col min="15" max="15" width="6.57421875" style="3" bestFit="1" customWidth="1"/>
    <col min="16" max="16" width="7.421875" style="3" customWidth="1"/>
    <col min="17" max="18" width="6.57421875" style="41" bestFit="1" customWidth="1"/>
    <col min="19" max="19" width="7.57421875" style="41" bestFit="1" customWidth="1"/>
    <col min="20" max="20" width="7.421875" style="3" customWidth="1"/>
    <col min="21" max="22" width="7.57421875" style="24" bestFit="1" customWidth="1"/>
    <col min="23" max="23" width="7.57421875" style="41" bestFit="1" customWidth="1"/>
    <col min="24" max="24" width="7.421875" style="41" customWidth="1"/>
    <col min="25" max="25" width="8.57421875" style="45" bestFit="1" customWidth="1"/>
    <col min="26" max="26" width="7.57421875" style="24" customWidth="1"/>
    <col min="27" max="27" width="9.57421875" style="24" customWidth="1"/>
    <col min="28" max="28" width="8.28125" style="45" bestFit="1" customWidth="1"/>
    <col min="29" max="16384" width="11.57421875" style="4" customWidth="1"/>
  </cols>
  <sheetData>
    <row r="1" spans="1:4" ht="15.75">
      <c r="A1" s="1" t="s">
        <v>26</v>
      </c>
      <c r="B1" s="2"/>
      <c r="C1" s="18"/>
      <c r="D1" s="20" t="s">
        <v>64</v>
      </c>
    </row>
    <row r="2" spans="1:4" ht="15.75">
      <c r="A2" s="1"/>
      <c r="B2" s="2"/>
      <c r="C2" s="18"/>
      <c r="D2" s="20"/>
    </row>
    <row r="3" spans="1:4" ht="15.75">
      <c r="A3" s="1"/>
      <c r="B3" s="2"/>
      <c r="C3" s="15">
        <f>'Leasing, Bar- und Kreditkauf'!G26</f>
        <v>0</v>
      </c>
      <c r="D3" s="20"/>
    </row>
    <row r="4" spans="1:4" ht="15.75">
      <c r="A4" s="1"/>
      <c r="B4" s="2"/>
      <c r="C4" s="15" t="s">
        <v>27</v>
      </c>
      <c r="D4" s="20"/>
    </row>
    <row r="5" spans="1:28" ht="12.75">
      <c r="A5" s="5" t="s">
        <v>37</v>
      </c>
      <c r="B5" s="6" t="s">
        <v>39</v>
      </c>
      <c r="C5" s="15" t="s">
        <v>28</v>
      </c>
      <c r="D5" s="15"/>
      <c r="T5" s="44"/>
      <c r="X5" s="42"/>
      <c r="AB5" s="44">
        <f>IF(AB7&gt;0,AB7,IF(Y8&gt;0,Y8,IF(U8&gt;0,U8,IF(Q8&gt;0,Q8,IF(M8&gt;0,M8,IF(I8&gt;0.001,I8," "))))))</f>
        <v>51.1111</v>
      </c>
    </row>
    <row r="6" spans="1:28" ht="12.75">
      <c r="A6" s="5" t="s">
        <v>38</v>
      </c>
      <c r="B6" s="6" t="s">
        <v>1</v>
      </c>
      <c r="C6" s="15" t="s">
        <v>1</v>
      </c>
      <c r="D6" s="15"/>
      <c r="AB6" s="45" t="str">
        <f>IF(AB5&lt;&gt;" ",IF(AB5&gt;50," ",AB5)," ")</f>
        <v> </v>
      </c>
    </row>
    <row r="7" spans="1:28" ht="12.75">
      <c r="A7" s="15">
        <f>'Leasing, Bar- und Kreditkauf'!G33</f>
        <v>0</v>
      </c>
      <c r="B7" s="6" t="str">
        <f>IF('Leasing, Bar- und Kreditkauf'!G36&gt;0,'Leasing, Bar- und Kreditkauf'!G36," ")</f>
        <v> </v>
      </c>
      <c r="C7" s="15">
        <f>IF(C3&lt;&gt;" ",C3,0)</f>
        <v>0</v>
      </c>
      <c r="D7" s="15"/>
      <c r="G7" s="2" t="str">
        <f>IF(G9&lt;&gt;" ",IF(MIN(G9:G59)&gt;0,MIN(G9:G59),"Null"),"Null")</f>
        <v>Null</v>
      </c>
      <c r="K7" s="2" t="str">
        <f>IF(K9&lt;&gt;" ",IF(MIN(K9:K29)&gt;0,MIN(K9:K29),"Null"),"Null")</f>
        <v>Null</v>
      </c>
      <c r="O7" s="2" t="str">
        <f>IF(O9&lt;&gt;" ",IF(MIN(O9:O29)&gt;0,MIN(O9:O29),"Null"),"Null")</f>
        <v>Null</v>
      </c>
      <c r="P7" s="23"/>
      <c r="S7" s="41" t="str">
        <f>IF(S9&lt;&gt;" ",IF(MIN(S9:S29)&gt;0,MIN(S9:S29),"Null")," ")</f>
        <v>Null</v>
      </c>
      <c r="T7" s="23"/>
      <c r="W7" s="41" t="str">
        <f>IF(W9&lt;&gt;" ",IF(MIN(W9:W29)&gt;0,MIN(W9:W29),"Null")," ")</f>
        <v>Null</v>
      </c>
      <c r="X7" s="42"/>
      <c r="AA7" s="24" t="str">
        <f>IF(AA9&lt;&gt;" ",IF(MIN(AA9:AA29)&gt;0,MIN(AA9:AA29),"Null")," ")</f>
        <v>Null</v>
      </c>
      <c r="AB7" s="44">
        <f>MAX(AB9:AB29)</f>
        <v>51.1111</v>
      </c>
    </row>
    <row r="8" spans="1:28" s="9" customFormat="1" ht="12.75">
      <c r="A8" s="7" t="s">
        <v>29</v>
      </c>
      <c r="B8" s="7" t="s">
        <v>30</v>
      </c>
      <c r="C8" s="15" t="s">
        <v>31</v>
      </c>
      <c r="D8" s="15" t="s">
        <v>32</v>
      </c>
      <c r="E8" s="7" t="s">
        <v>33</v>
      </c>
      <c r="F8" s="16" t="s">
        <v>34</v>
      </c>
      <c r="G8" s="17" t="s">
        <v>35</v>
      </c>
      <c r="H8" s="16" t="str">
        <f>G7</f>
        <v>Null</v>
      </c>
      <c r="I8" s="22">
        <f>MAX(H9:H59)</f>
        <v>50</v>
      </c>
      <c r="J8" s="17" t="s">
        <v>33</v>
      </c>
      <c r="K8" s="17" t="s">
        <v>36</v>
      </c>
      <c r="L8" s="16" t="str">
        <f>K7</f>
        <v>Null</v>
      </c>
      <c r="M8" s="8">
        <f>MAX(L9:L29)</f>
        <v>51</v>
      </c>
      <c r="N8" s="17" t="s">
        <v>33</v>
      </c>
      <c r="O8" s="17" t="s">
        <v>57</v>
      </c>
      <c r="P8" s="16" t="str">
        <f>O7</f>
        <v>Null</v>
      </c>
      <c r="Q8" s="42">
        <f>MAX(P9:P29)</f>
        <v>51.1</v>
      </c>
      <c r="R8" s="43" t="s">
        <v>33</v>
      </c>
      <c r="S8" s="43" t="s">
        <v>59</v>
      </c>
      <c r="T8" s="16" t="str">
        <f>S7</f>
        <v>Null</v>
      </c>
      <c r="U8" s="8">
        <f>MAX(T9:T29)</f>
        <v>51.11</v>
      </c>
      <c r="V8" s="25" t="s">
        <v>33</v>
      </c>
      <c r="W8" s="43" t="s">
        <v>62</v>
      </c>
      <c r="X8" s="42" t="str">
        <f>W7</f>
        <v>Null</v>
      </c>
      <c r="Y8" s="44">
        <f>MAX(X9:X29)</f>
        <v>51.111</v>
      </c>
      <c r="Z8" s="25" t="s">
        <v>33</v>
      </c>
      <c r="AA8" s="25" t="s">
        <v>65</v>
      </c>
      <c r="AB8" s="44" t="str">
        <f>AA7</f>
        <v>Null</v>
      </c>
    </row>
    <row r="9" spans="1:28" ht="12.75">
      <c r="A9" s="10">
        <f>A7</f>
        <v>0</v>
      </c>
      <c r="B9" s="11" t="str">
        <f>B7</f>
        <v> </v>
      </c>
      <c r="C9" s="12">
        <f>C7</f>
        <v>0</v>
      </c>
      <c r="D9" s="12">
        <v>1E-06</v>
      </c>
      <c r="E9" s="3">
        <f>(1/((1+D9/100)^($A9/12)))*((1+D9/100)^($A9/12)-1)/((1+D9/100)^(1/12)-1)</f>
        <v>0</v>
      </c>
      <c r="F9" s="3">
        <f>IF(B9&lt;&gt;" ",C9/B9,0)</f>
        <v>0</v>
      </c>
      <c r="G9" s="3">
        <f>IF(F9&lt;&gt;" ",ABS(E9-$F9)," ")</f>
        <v>0</v>
      </c>
      <c r="H9" s="3">
        <f>IF(G9&lt;&gt;" ",IF(G9=MIN(G$9:G$59),D9,0)," ")</f>
        <v>1E-06</v>
      </c>
      <c r="I9" s="21">
        <f>IF($I$8&lt;&gt;" ",I$8-1," ")</f>
        <v>49</v>
      </c>
      <c r="J9" s="3">
        <v>36</v>
      </c>
      <c r="K9" s="3">
        <f>IF(F9&lt;&gt;" ",IF(J9&lt;&gt;" ",ABS(J9-$F9)," ")," ")</f>
        <v>36</v>
      </c>
      <c r="L9" s="3">
        <f>IF(K9&lt;&gt;" ",IF(K9=MIN(K$9:K$29),I9,0)," ")</f>
        <v>0</v>
      </c>
      <c r="M9" s="3">
        <f>IF(M$8&lt;&gt;" ",M$8-0.1," ")</f>
        <v>50.9</v>
      </c>
      <c r="N9" s="3">
        <f>IF(M9&lt;&gt;" ",(1/((1+M9/100)^($A9/12)))*((1+M9/100)^($A9/12)-1)/((1+M9/100)^(1/12)-1),0)</f>
        <v>0</v>
      </c>
      <c r="O9" s="3">
        <f>IF(F9&lt;&gt;" ",IF(N9&lt;&gt;" ",ABS(N9-$F9)," ")," ")</f>
        <v>0</v>
      </c>
      <c r="P9" s="3">
        <f>IF(O$9&lt;&gt;" ",IF(O9=MIN(O$9:O$29),M9,0)," ")</f>
        <v>50.9</v>
      </c>
      <c r="Q9" s="41">
        <f>IF(Q$8&lt;&gt;" ",Q$8-0.01," ")</f>
        <v>51.09</v>
      </c>
      <c r="R9" s="41">
        <f>IF(Q9&lt;&gt;" ",(1/((1+Q9/100)^($A9/12)))*((1+Q9/100)^($A9/12)-1)/((1+Q9/100)^(1/12)-1),0)</f>
        <v>0</v>
      </c>
      <c r="S9" s="41">
        <f>IF(J9&lt;&gt;" ",IF(R9&lt;&gt;" ",ABS(R9-$F9)," ")," ")</f>
        <v>0</v>
      </c>
      <c r="T9" s="3">
        <f>IF(S$9&lt;&gt;" ",IF(S9=MIN(S$9:S$29),Q9,0)," ")</f>
        <v>51.09</v>
      </c>
      <c r="U9" s="24">
        <f>IF(U$8&lt;&gt;" ",U$8-0.001," ")</f>
        <v>51.109</v>
      </c>
      <c r="V9" s="24">
        <f>IF(U9&lt;&gt;" ",(1/((1+U9/100)^($A9/12)))*((1+U9/100)^($A9/12)-1)/((1+U9/100)^(1/12)-1),0)</f>
        <v>0</v>
      </c>
      <c r="W9" s="41">
        <f>IF(N9&lt;&gt;" ",IF(V9&lt;&gt;" ",ABS(V9-$F9)," ")," ")</f>
        <v>0</v>
      </c>
      <c r="X9" s="41">
        <f>IF(W$9&lt;&gt;" ",IF(W9=MIN(W$9:W$29),U9,0)," ")</f>
        <v>51.109</v>
      </c>
      <c r="Y9" s="45">
        <f>IF(Y$8&lt;&gt;" ",Y$8-0.0001," ")</f>
        <v>51.110899999999994</v>
      </c>
      <c r="Z9" s="24">
        <f>IF(Y9&lt;&gt;" ",(1/((1+Y9/100)^($A9/12)))*((1+Y9/100)^($A9/12)-1)/((1+Y9/100)^(1/12)-1),0)</f>
        <v>0</v>
      </c>
      <c r="AA9" s="24">
        <f>IF(R9&lt;&gt;" ",IF(Z9&lt;&gt;" ",ABS(Z9-$F9)," ")," ")</f>
        <v>0</v>
      </c>
      <c r="AB9" s="45">
        <f>IF(AA$9&lt;&gt;" ",IF(AA9=MIN(AA$9:AA$29),Y9,0)," ")</f>
        <v>51.110899999999994</v>
      </c>
    </row>
    <row r="10" spans="1:28" ht="12.75">
      <c r="A10" s="12">
        <f>A$9</f>
        <v>0</v>
      </c>
      <c r="B10" s="11" t="str">
        <f>B$9</f>
        <v> </v>
      </c>
      <c r="C10" s="12">
        <f>C$9</f>
        <v>0</v>
      </c>
      <c r="D10" s="12">
        <v>1</v>
      </c>
      <c r="E10" s="3">
        <f aca="true" t="shared" si="0" ref="E10:E59">(1/((1+D10/100)^($A10/12)))*((1+D10/100)^($A10/12)-1)/((1+D10/100)^(1/12)-1)</f>
        <v>0</v>
      </c>
      <c r="F10" s="3">
        <f aca="true" t="shared" si="1" ref="F10:F59">IF(B10&lt;&gt;" ",C10/B10,0)</f>
        <v>0</v>
      </c>
      <c r="G10" s="3">
        <f aca="true" t="shared" si="2" ref="G10:G59">IF(F10&lt;&gt;" ",ABS(E10-$F10)," ")</f>
        <v>0</v>
      </c>
      <c r="H10" s="3">
        <f aca="true" t="shared" si="3" ref="H10:H59">IF(G10&lt;&gt;" ",IF(G10=MIN(G$9:G$59),D10,0)," ")</f>
        <v>1</v>
      </c>
      <c r="I10" s="21">
        <f>IF(I$8&lt;&gt;" ",I$8-0.9," ")</f>
        <v>49.1</v>
      </c>
      <c r="J10" s="3">
        <f>IF(I10&lt;&gt;" ",(1/((1+I10/100)^($A10/12)))*((1+I10/100)^($A10/12)-1)/((1+I10/100)^(1/12)-1),0)</f>
        <v>0</v>
      </c>
      <c r="K10" s="3">
        <f aca="true" t="shared" si="4" ref="K10:K29">IF(F10&lt;&gt;" ",IF(J10&lt;&gt;" ",ABS(J10-$F10)," ")," ")</f>
        <v>0</v>
      </c>
      <c r="L10" s="3">
        <f aca="true" t="shared" si="5" ref="L10:L29">IF(K10&lt;&gt;" ",IF(K10=MIN(K$9:K$29),I10,0)," ")</f>
        <v>49.1</v>
      </c>
      <c r="M10" s="3">
        <f>IF(M$8&lt;&gt;" ",M$8-0.09," ")</f>
        <v>50.91</v>
      </c>
      <c r="N10" s="3">
        <f aca="true" t="shared" si="6" ref="N10:N29">IF(M10&lt;&gt;" ",(1/((1+M10/100)^($A10/12)))*((1+M10/100)^($A10/12)-1)/((1+M10/100)^(1/12)-1),0)</f>
        <v>0</v>
      </c>
      <c r="O10" s="3">
        <f aca="true" t="shared" si="7" ref="O10:O29">IF(F10&lt;&gt;" ",IF(N10&lt;&gt;" ",ABS(N10-$F10)," ")," ")</f>
        <v>0</v>
      </c>
      <c r="P10" s="3">
        <f aca="true" t="shared" si="8" ref="P10:P29">IF(O$9&lt;&gt;" ",IF(O10=MIN(O$9:O$29),M10,0)," ")</f>
        <v>50.91</v>
      </c>
      <c r="Q10" s="41">
        <f>IF(Q$8&lt;&gt;" ",Q$8-0.009," ")</f>
        <v>51.091</v>
      </c>
      <c r="R10" s="41">
        <f aca="true" t="shared" si="9" ref="R10:R29">IF(Q10&lt;&gt;" ",(1/((1+Q10/100)^($A10/12)))*((1+Q10/100)^($A10/12)-1)/((1+Q10/100)^(1/12)-1),0)</f>
        <v>0</v>
      </c>
      <c r="S10" s="41">
        <f aca="true" t="shared" si="10" ref="S10:S29">IF(J10&lt;&gt;" ",IF(R10&lt;&gt;" ",ABS(R10-$F10)," ")," ")</f>
        <v>0</v>
      </c>
      <c r="T10" s="3">
        <f aca="true" t="shared" si="11" ref="T10:T29">IF(S$9&lt;&gt;" ",IF(S10=MIN(S$9:S$29),Q10,0)," ")</f>
        <v>51.091</v>
      </c>
      <c r="U10" s="24">
        <f>IF(U$8&lt;&gt;" ",U$8-0.0009," ")</f>
        <v>51.1091</v>
      </c>
      <c r="V10" s="24">
        <f aca="true" t="shared" si="12" ref="V10:V29">IF(U10&lt;&gt;" ",(1/((1+U10/100)^($A10/12)))*((1+U10/100)^($A10/12)-1)/((1+U10/100)^(1/12)-1),0)</f>
        <v>0</v>
      </c>
      <c r="W10" s="41">
        <f aca="true" t="shared" si="13" ref="W10:W29">IF(N10&lt;&gt;" ",IF(V10&lt;&gt;" ",ABS(V10-$F10)," ")," ")</f>
        <v>0</v>
      </c>
      <c r="X10" s="41">
        <f aca="true" t="shared" si="14" ref="X10:X29">IF(W$9&lt;&gt;" ",IF(W10=MIN(W$9:W$29),U10,0)," ")</f>
        <v>51.1091</v>
      </c>
      <c r="Y10" s="45">
        <f>IF(Y$8&lt;&gt;" ",Y$8-0.00009," ")</f>
        <v>51.11091</v>
      </c>
      <c r="Z10" s="24">
        <f aca="true" t="shared" si="15" ref="Z10:Z29">IF(Y10&lt;&gt;" ",(1/((1+Y10/100)^($A10/12)))*((1+Y10/100)^($A10/12)-1)/((1+Y10/100)^(1/12)-1),0)</f>
        <v>0</v>
      </c>
      <c r="AA10" s="24">
        <f aca="true" t="shared" si="16" ref="AA10:AA29">IF(R10&lt;&gt;" ",IF(Z10&lt;&gt;" ",ABS(Z10-$F10)," ")," ")</f>
        <v>0</v>
      </c>
      <c r="AB10" s="45">
        <f aca="true" t="shared" si="17" ref="AB10:AB29">IF(AA$9&lt;&gt;" ",IF(AA10=MIN(AA$9:AA$29),Y10,0)," ")</f>
        <v>51.11091</v>
      </c>
    </row>
    <row r="11" spans="1:28" ht="12.75">
      <c r="A11" s="12">
        <f aca="true" t="shared" si="18" ref="A11:C42">A$9</f>
        <v>0</v>
      </c>
      <c r="B11" s="11" t="str">
        <f t="shared" si="18"/>
        <v> </v>
      </c>
      <c r="C11" s="12">
        <f t="shared" si="18"/>
        <v>0</v>
      </c>
      <c r="D11" s="12">
        <v>2</v>
      </c>
      <c r="E11" s="3">
        <f t="shared" si="0"/>
        <v>0</v>
      </c>
      <c r="F11" s="3">
        <f t="shared" si="1"/>
        <v>0</v>
      </c>
      <c r="G11" s="3">
        <f t="shared" si="2"/>
        <v>0</v>
      </c>
      <c r="H11" s="3">
        <f t="shared" si="3"/>
        <v>2</v>
      </c>
      <c r="I11" s="21">
        <f>IF(I$8&lt;&gt;" ",I$8-0.8," ")</f>
        <v>49.2</v>
      </c>
      <c r="J11" s="3">
        <f aca="true" t="shared" si="19" ref="J11:J29">IF(I11&lt;&gt;" ",(1/((1+I11/100)^($A11/12)))*((1+I11/100)^($A11/12)-1)/((1+I11/100)^(1/12)-1),0)</f>
        <v>0</v>
      </c>
      <c r="K11" s="3">
        <f t="shared" si="4"/>
        <v>0</v>
      </c>
      <c r="L11" s="3">
        <f t="shared" si="5"/>
        <v>49.2</v>
      </c>
      <c r="M11" s="3">
        <f>IF(M$8&lt;&gt;" ",M$8-0.08," ")</f>
        <v>50.92</v>
      </c>
      <c r="N11" s="3">
        <f t="shared" si="6"/>
        <v>0</v>
      </c>
      <c r="O11" s="3">
        <f t="shared" si="7"/>
        <v>0</v>
      </c>
      <c r="P11" s="3">
        <f t="shared" si="8"/>
        <v>50.92</v>
      </c>
      <c r="Q11" s="41">
        <f>IF(Q$8&lt;&gt;" ",Q$8-0.008," ")</f>
        <v>51.092</v>
      </c>
      <c r="R11" s="41">
        <f t="shared" si="9"/>
        <v>0</v>
      </c>
      <c r="S11" s="41">
        <f t="shared" si="10"/>
        <v>0</v>
      </c>
      <c r="T11" s="3">
        <f t="shared" si="11"/>
        <v>51.092</v>
      </c>
      <c r="U11" s="24">
        <f>IF(U$8&lt;&gt;" ",U$8-0.0008," ")</f>
        <v>51.1092</v>
      </c>
      <c r="V11" s="24">
        <f t="shared" si="12"/>
        <v>0</v>
      </c>
      <c r="W11" s="41">
        <f t="shared" si="13"/>
        <v>0</v>
      </c>
      <c r="X11" s="41">
        <f t="shared" si="14"/>
        <v>51.1092</v>
      </c>
      <c r="Y11" s="45">
        <f>IF(Y$8&lt;&gt;" ",Y$8-0.00008," ")</f>
        <v>51.11092</v>
      </c>
      <c r="Z11" s="24">
        <f t="shared" si="15"/>
        <v>0</v>
      </c>
      <c r="AA11" s="24">
        <f t="shared" si="16"/>
        <v>0</v>
      </c>
      <c r="AB11" s="45">
        <f t="shared" si="17"/>
        <v>51.11092</v>
      </c>
    </row>
    <row r="12" spans="1:28" ht="12.75">
      <c r="A12" s="12">
        <f t="shared" si="18"/>
        <v>0</v>
      </c>
      <c r="B12" s="11" t="str">
        <f t="shared" si="18"/>
        <v> </v>
      </c>
      <c r="C12" s="12">
        <f t="shared" si="18"/>
        <v>0</v>
      </c>
      <c r="D12" s="12">
        <v>3</v>
      </c>
      <c r="E12" s="3">
        <f t="shared" si="0"/>
        <v>0</v>
      </c>
      <c r="F12" s="3">
        <f t="shared" si="1"/>
        <v>0</v>
      </c>
      <c r="G12" s="3">
        <f t="shared" si="2"/>
        <v>0</v>
      </c>
      <c r="H12" s="3">
        <f t="shared" si="3"/>
        <v>3</v>
      </c>
      <c r="I12" s="21">
        <f>IF(I$8&lt;&gt;" ",I$8-0.7," ")</f>
        <v>49.3</v>
      </c>
      <c r="J12" s="3">
        <f t="shared" si="19"/>
        <v>0</v>
      </c>
      <c r="K12" s="3">
        <f t="shared" si="4"/>
        <v>0</v>
      </c>
      <c r="L12" s="3">
        <f t="shared" si="5"/>
        <v>49.3</v>
      </c>
      <c r="M12" s="3">
        <f>IF(M$8&lt;&gt;" ",M$8-0.07," ")</f>
        <v>50.93</v>
      </c>
      <c r="N12" s="3">
        <f t="shared" si="6"/>
        <v>0</v>
      </c>
      <c r="O12" s="3">
        <f t="shared" si="7"/>
        <v>0</v>
      </c>
      <c r="P12" s="3">
        <f t="shared" si="8"/>
        <v>50.93</v>
      </c>
      <c r="Q12" s="41">
        <f>IF(Q$8&lt;&gt;" ",Q$8-0.007," ")</f>
        <v>51.093</v>
      </c>
      <c r="R12" s="41">
        <f t="shared" si="9"/>
        <v>0</v>
      </c>
      <c r="S12" s="41">
        <f t="shared" si="10"/>
        <v>0</v>
      </c>
      <c r="T12" s="3">
        <f t="shared" si="11"/>
        <v>51.093</v>
      </c>
      <c r="U12" s="24">
        <f>IF(U$8&lt;&gt;" ",U$8-0.0007," ")</f>
        <v>51.1093</v>
      </c>
      <c r="V12" s="24">
        <f t="shared" si="12"/>
        <v>0</v>
      </c>
      <c r="W12" s="41">
        <f t="shared" si="13"/>
        <v>0</v>
      </c>
      <c r="X12" s="41">
        <f t="shared" si="14"/>
        <v>51.1093</v>
      </c>
      <c r="Y12" s="45">
        <f>IF(Y$8&lt;&gt;" ",Y$8-0.00007," ")</f>
        <v>51.110929999999996</v>
      </c>
      <c r="Z12" s="24">
        <f t="shared" si="15"/>
        <v>0</v>
      </c>
      <c r="AA12" s="24">
        <f t="shared" si="16"/>
        <v>0</v>
      </c>
      <c r="AB12" s="45">
        <f t="shared" si="17"/>
        <v>51.110929999999996</v>
      </c>
    </row>
    <row r="13" spans="1:28" ht="12.75">
      <c r="A13" s="12">
        <f t="shared" si="18"/>
        <v>0</v>
      </c>
      <c r="B13" s="11" t="str">
        <f t="shared" si="18"/>
        <v> </v>
      </c>
      <c r="C13" s="12">
        <f t="shared" si="18"/>
        <v>0</v>
      </c>
      <c r="D13" s="12">
        <v>4</v>
      </c>
      <c r="E13" s="3">
        <f t="shared" si="0"/>
        <v>0</v>
      </c>
      <c r="F13" s="3">
        <f t="shared" si="1"/>
        <v>0</v>
      </c>
      <c r="G13" s="3">
        <f t="shared" si="2"/>
        <v>0</v>
      </c>
      <c r="H13" s="3">
        <f t="shared" si="3"/>
        <v>4</v>
      </c>
      <c r="I13" s="21">
        <f>IF(I$8&lt;&gt;" ",I$8-0.6," ")</f>
        <v>49.4</v>
      </c>
      <c r="J13" s="3">
        <f t="shared" si="19"/>
        <v>0</v>
      </c>
      <c r="K13" s="3">
        <f t="shared" si="4"/>
        <v>0</v>
      </c>
      <c r="L13" s="3">
        <f t="shared" si="5"/>
        <v>49.4</v>
      </c>
      <c r="M13" s="3">
        <f>IF(M$8&lt;&gt;" ",M$8-0.06," ")</f>
        <v>50.94</v>
      </c>
      <c r="N13" s="3">
        <f t="shared" si="6"/>
        <v>0</v>
      </c>
      <c r="O13" s="3">
        <f t="shared" si="7"/>
        <v>0</v>
      </c>
      <c r="P13" s="3">
        <f t="shared" si="8"/>
        <v>50.94</v>
      </c>
      <c r="Q13" s="41">
        <f>IF(Q$8&lt;&gt;" ",Q$8-0.006," ")</f>
        <v>51.094</v>
      </c>
      <c r="R13" s="41">
        <f t="shared" si="9"/>
        <v>0</v>
      </c>
      <c r="S13" s="41">
        <f t="shared" si="10"/>
        <v>0</v>
      </c>
      <c r="T13" s="3">
        <f t="shared" si="11"/>
        <v>51.094</v>
      </c>
      <c r="U13" s="24">
        <f>IF(U$8&lt;&gt;" ",U$8-0.0006," ")</f>
        <v>51.1094</v>
      </c>
      <c r="V13" s="24">
        <f t="shared" si="12"/>
        <v>0</v>
      </c>
      <c r="W13" s="41">
        <f t="shared" si="13"/>
        <v>0</v>
      </c>
      <c r="X13" s="41">
        <f t="shared" si="14"/>
        <v>51.1094</v>
      </c>
      <c r="Y13" s="45">
        <f>IF(Y$8&lt;&gt;" ",Y$8-0.00006," ")</f>
        <v>51.11094</v>
      </c>
      <c r="Z13" s="24">
        <f t="shared" si="15"/>
        <v>0</v>
      </c>
      <c r="AA13" s="24">
        <f t="shared" si="16"/>
        <v>0</v>
      </c>
      <c r="AB13" s="45">
        <f t="shared" si="17"/>
        <v>51.11094</v>
      </c>
    </row>
    <row r="14" spans="1:28" ht="12.75">
      <c r="A14" s="12">
        <f t="shared" si="18"/>
        <v>0</v>
      </c>
      <c r="B14" s="11" t="str">
        <f t="shared" si="18"/>
        <v> </v>
      </c>
      <c r="C14" s="12">
        <f t="shared" si="18"/>
        <v>0</v>
      </c>
      <c r="D14" s="12">
        <v>5</v>
      </c>
      <c r="E14" s="3">
        <f t="shared" si="0"/>
        <v>0</v>
      </c>
      <c r="F14" s="3">
        <f t="shared" si="1"/>
        <v>0</v>
      </c>
      <c r="G14" s="3">
        <f t="shared" si="2"/>
        <v>0</v>
      </c>
      <c r="H14" s="3">
        <f t="shared" si="3"/>
        <v>5</v>
      </c>
      <c r="I14" s="21">
        <f>IF(I$8&lt;&gt;" ",I$8-0.5," ")</f>
        <v>49.5</v>
      </c>
      <c r="J14" s="3">
        <f t="shared" si="19"/>
        <v>0</v>
      </c>
      <c r="K14" s="3">
        <f t="shared" si="4"/>
        <v>0</v>
      </c>
      <c r="L14" s="3">
        <f t="shared" si="5"/>
        <v>49.5</v>
      </c>
      <c r="M14" s="3">
        <f>IF(M$8&lt;&gt;" ",M$8-0.05," ")</f>
        <v>50.95</v>
      </c>
      <c r="N14" s="3">
        <f t="shared" si="6"/>
        <v>0</v>
      </c>
      <c r="O14" s="3">
        <f t="shared" si="7"/>
        <v>0</v>
      </c>
      <c r="P14" s="3">
        <f t="shared" si="8"/>
        <v>50.95</v>
      </c>
      <c r="Q14" s="41">
        <f>IF(Q$8&lt;&gt;" ",Q$8-0.005," ")</f>
        <v>51.095</v>
      </c>
      <c r="R14" s="41">
        <f t="shared" si="9"/>
        <v>0</v>
      </c>
      <c r="S14" s="41">
        <f t="shared" si="10"/>
        <v>0</v>
      </c>
      <c r="T14" s="3">
        <f t="shared" si="11"/>
        <v>51.095</v>
      </c>
      <c r="U14" s="24">
        <f>IF(U$8&lt;&gt;" ",U$8-0.0005," ")</f>
        <v>51.1095</v>
      </c>
      <c r="V14" s="24">
        <f t="shared" si="12"/>
        <v>0</v>
      </c>
      <c r="W14" s="41">
        <f t="shared" si="13"/>
        <v>0</v>
      </c>
      <c r="X14" s="41">
        <f t="shared" si="14"/>
        <v>51.1095</v>
      </c>
      <c r="Y14" s="45">
        <f>IF(Y$8&lt;&gt;" ",Y$8-0.00005," ")</f>
        <v>51.110949999999995</v>
      </c>
      <c r="Z14" s="24">
        <f t="shared" si="15"/>
        <v>0</v>
      </c>
      <c r="AA14" s="24">
        <f t="shared" si="16"/>
        <v>0</v>
      </c>
      <c r="AB14" s="45">
        <f t="shared" si="17"/>
        <v>51.110949999999995</v>
      </c>
    </row>
    <row r="15" spans="1:28" ht="12.75">
      <c r="A15" s="12">
        <f t="shared" si="18"/>
        <v>0</v>
      </c>
      <c r="B15" s="11" t="str">
        <f t="shared" si="18"/>
        <v> </v>
      </c>
      <c r="C15" s="12">
        <f t="shared" si="18"/>
        <v>0</v>
      </c>
      <c r="D15" s="12">
        <v>6</v>
      </c>
      <c r="E15" s="3">
        <f t="shared" si="0"/>
        <v>0</v>
      </c>
      <c r="F15" s="3">
        <f t="shared" si="1"/>
        <v>0</v>
      </c>
      <c r="G15" s="3">
        <f t="shared" si="2"/>
        <v>0</v>
      </c>
      <c r="H15" s="3">
        <f t="shared" si="3"/>
        <v>6</v>
      </c>
      <c r="I15" s="21">
        <f>IF(I$8&lt;&gt;" ",I$8-0.4," ")</f>
        <v>49.6</v>
      </c>
      <c r="J15" s="3">
        <f t="shared" si="19"/>
        <v>0</v>
      </c>
      <c r="K15" s="3">
        <f t="shared" si="4"/>
        <v>0</v>
      </c>
      <c r="L15" s="3">
        <f t="shared" si="5"/>
        <v>49.6</v>
      </c>
      <c r="M15" s="3">
        <f>IF(M$8&lt;&gt;" ",M$8-0.04," ")</f>
        <v>50.96</v>
      </c>
      <c r="N15" s="3">
        <f t="shared" si="6"/>
        <v>0</v>
      </c>
      <c r="O15" s="3">
        <f t="shared" si="7"/>
        <v>0</v>
      </c>
      <c r="P15" s="3">
        <f t="shared" si="8"/>
        <v>50.96</v>
      </c>
      <c r="Q15" s="41">
        <f>IF(Q$8&lt;&gt;" ",Q$8-0.004," ")</f>
        <v>51.096000000000004</v>
      </c>
      <c r="R15" s="41">
        <f t="shared" si="9"/>
        <v>0</v>
      </c>
      <c r="S15" s="41">
        <f t="shared" si="10"/>
        <v>0</v>
      </c>
      <c r="T15" s="3">
        <f t="shared" si="11"/>
        <v>51.096000000000004</v>
      </c>
      <c r="U15" s="24">
        <f>IF(U$8&lt;&gt;" ",U$8-0.0004," ")</f>
        <v>51.1096</v>
      </c>
      <c r="V15" s="24">
        <f t="shared" si="12"/>
        <v>0</v>
      </c>
      <c r="W15" s="41">
        <f t="shared" si="13"/>
        <v>0</v>
      </c>
      <c r="X15" s="41">
        <f t="shared" si="14"/>
        <v>51.1096</v>
      </c>
      <c r="Y15" s="45">
        <f>IF(Y$8&lt;&gt;" ",Y$8-0.00004," ")</f>
        <v>51.11096</v>
      </c>
      <c r="Z15" s="24">
        <f t="shared" si="15"/>
        <v>0</v>
      </c>
      <c r="AA15" s="24">
        <f t="shared" si="16"/>
        <v>0</v>
      </c>
      <c r="AB15" s="45">
        <f t="shared" si="17"/>
        <v>51.11096</v>
      </c>
    </row>
    <row r="16" spans="1:28" ht="12.75">
      <c r="A16" s="12">
        <f t="shared" si="18"/>
        <v>0</v>
      </c>
      <c r="B16" s="11" t="str">
        <f t="shared" si="18"/>
        <v> </v>
      </c>
      <c r="C16" s="12">
        <f t="shared" si="18"/>
        <v>0</v>
      </c>
      <c r="D16" s="12">
        <v>7</v>
      </c>
      <c r="E16" s="3">
        <f t="shared" si="0"/>
        <v>0</v>
      </c>
      <c r="F16" s="3">
        <f t="shared" si="1"/>
        <v>0</v>
      </c>
      <c r="G16" s="3">
        <f t="shared" si="2"/>
        <v>0</v>
      </c>
      <c r="H16" s="3">
        <f t="shared" si="3"/>
        <v>7</v>
      </c>
      <c r="I16" s="21">
        <f>IF(I$8&lt;&gt;" ",I$8-0.3," ")</f>
        <v>49.7</v>
      </c>
      <c r="J16" s="3">
        <f t="shared" si="19"/>
        <v>0</v>
      </c>
      <c r="K16" s="3">
        <f t="shared" si="4"/>
        <v>0</v>
      </c>
      <c r="L16" s="3">
        <f t="shared" si="5"/>
        <v>49.7</v>
      </c>
      <c r="M16" s="3">
        <f>IF(M$8&lt;&gt;" ",M$8-0.03," ")</f>
        <v>50.97</v>
      </c>
      <c r="N16" s="3">
        <f t="shared" si="6"/>
        <v>0</v>
      </c>
      <c r="O16" s="3">
        <f t="shared" si="7"/>
        <v>0</v>
      </c>
      <c r="P16" s="3">
        <f t="shared" si="8"/>
        <v>50.97</v>
      </c>
      <c r="Q16" s="41">
        <f>IF(Q$8&lt;&gt;" ",Q$8-0.003," ")</f>
        <v>51.097</v>
      </c>
      <c r="R16" s="41">
        <f t="shared" si="9"/>
        <v>0</v>
      </c>
      <c r="S16" s="41">
        <f t="shared" si="10"/>
        <v>0</v>
      </c>
      <c r="T16" s="3">
        <f t="shared" si="11"/>
        <v>51.097</v>
      </c>
      <c r="U16" s="24">
        <f>IF(U$8&lt;&gt;" ",U$8-0.0003," ")</f>
        <v>51.1097</v>
      </c>
      <c r="V16" s="24">
        <f t="shared" si="12"/>
        <v>0</v>
      </c>
      <c r="W16" s="41">
        <f t="shared" si="13"/>
        <v>0</v>
      </c>
      <c r="X16" s="41">
        <f t="shared" si="14"/>
        <v>51.1097</v>
      </c>
      <c r="Y16" s="45">
        <f>IF(Y$8&lt;&gt;" ",Y$8-0.00003," ")</f>
        <v>51.110969999999995</v>
      </c>
      <c r="Z16" s="24">
        <f t="shared" si="15"/>
        <v>0</v>
      </c>
      <c r="AA16" s="24">
        <f t="shared" si="16"/>
        <v>0</v>
      </c>
      <c r="AB16" s="45">
        <f t="shared" si="17"/>
        <v>51.110969999999995</v>
      </c>
    </row>
    <row r="17" spans="1:28" ht="12.75">
      <c r="A17" s="12">
        <f t="shared" si="18"/>
        <v>0</v>
      </c>
      <c r="B17" s="11" t="str">
        <f t="shared" si="18"/>
        <v> </v>
      </c>
      <c r="C17" s="12">
        <f t="shared" si="18"/>
        <v>0</v>
      </c>
      <c r="D17" s="12">
        <v>8</v>
      </c>
      <c r="E17" s="3">
        <f t="shared" si="0"/>
        <v>0</v>
      </c>
      <c r="F17" s="3">
        <f t="shared" si="1"/>
        <v>0</v>
      </c>
      <c r="G17" s="3">
        <f t="shared" si="2"/>
        <v>0</v>
      </c>
      <c r="H17" s="3">
        <f t="shared" si="3"/>
        <v>8</v>
      </c>
      <c r="I17" s="21">
        <f>IF(I$8&lt;&gt;" ",I$8-0.2," ")</f>
        <v>49.8</v>
      </c>
      <c r="J17" s="3">
        <f t="shared" si="19"/>
        <v>0</v>
      </c>
      <c r="K17" s="3">
        <f t="shared" si="4"/>
        <v>0</v>
      </c>
      <c r="L17" s="3">
        <f t="shared" si="5"/>
        <v>49.8</v>
      </c>
      <c r="M17" s="3">
        <f>IF(M$8&lt;&gt;" ",M$8-0.02," ")</f>
        <v>50.98</v>
      </c>
      <c r="N17" s="3">
        <f t="shared" si="6"/>
        <v>0</v>
      </c>
      <c r="O17" s="3">
        <f t="shared" si="7"/>
        <v>0</v>
      </c>
      <c r="P17" s="3">
        <f t="shared" si="8"/>
        <v>50.98</v>
      </c>
      <c r="Q17" s="41">
        <f>IF(Q$8&lt;&gt;" ",Q$8-0.002," ")</f>
        <v>51.098</v>
      </c>
      <c r="R17" s="41">
        <f t="shared" si="9"/>
        <v>0</v>
      </c>
      <c r="S17" s="41">
        <f t="shared" si="10"/>
        <v>0</v>
      </c>
      <c r="T17" s="3">
        <f t="shared" si="11"/>
        <v>51.098</v>
      </c>
      <c r="U17" s="24">
        <f>IF(U$8&lt;&gt;" ",U$8-0.0002," ")</f>
        <v>51.1098</v>
      </c>
      <c r="V17" s="24">
        <f t="shared" si="12"/>
        <v>0</v>
      </c>
      <c r="W17" s="41">
        <f t="shared" si="13"/>
        <v>0</v>
      </c>
      <c r="X17" s="41">
        <f t="shared" si="14"/>
        <v>51.1098</v>
      </c>
      <c r="Y17" s="45">
        <f>IF(Y$8&lt;&gt;" ",Y$8-0.00002," ")</f>
        <v>51.11098</v>
      </c>
      <c r="Z17" s="24">
        <f t="shared" si="15"/>
        <v>0</v>
      </c>
      <c r="AA17" s="24">
        <f t="shared" si="16"/>
        <v>0</v>
      </c>
      <c r="AB17" s="45">
        <f t="shared" si="17"/>
        <v>51.11098</v>
      </c>
    </row>
    <row r="18" spans="1:28" ht="12.75">
      <c r="A18" s="12">
        <f t="shared" si="18"/>
        <v>0</v>
      </c>
      <c r="B18" s="11" t="str">
        <f t="shared" si="18"/>
        <v> </v>
      </c>
      <c r="C18" s="12">
        <f t="shared" si="18"/>
        <v>0</v>
      </c>
      <c r="D18" s="12">
        <v>9</v>
      </c>
      <c r="E18" s="3">
        <f t="shared" si="0"/>
        <v>0</v>
      </c>
      <c r="F18" s="3">
        <f t="shared" si="1"/>
        <v>0</v>
      </c>
      <c r="G18" s="3">
        <f t="shared" si="2"/>
        <v>0</v>
      </c>
      <c r="H18" s="3">
        <f t="shared" si="3"/>
        <v>9</v>
      </c>
      <c r="I18" s="21">
        <f>IF(I$8&lt;&gt;" ",I$8-0.1," ")</f>
        <v>49.9</v>
      </c>
      <c r="J18" s="3">
        <f t="shared" si="19"/>
        <v>0</v>
      </c>
      <c r="K18" s="3">
        <f t="shared" si="4"/>
        <v>0</v>
      </c>
      <c r="L18" s="3">
        <f t="shared" si="5"/>
        <v>49.9</v>
      </c>
      <c r="M18" s="3">
        <f>IF(M$8&lt;&gt;" ",M$8-0.01," ")</f>
        <v>50.99</v>
      </c>
      <c r="N18" s="3">
        <f t="shared" si="6"/>
        <v>0</v>
      </c>
      <c r="O18" s="3">
        <f t="shared" si="7"/>
        <v>0</v>
      </c>
      <c r="P18" s="3">
        <f t="shared" si="8"/>
        <v>50.99</v>
      </c>
      <c r="Q18" s="41">
        <f>IF(Q$8&lt;&gt;" ",Q$8-0.001," ")</f>
        <v>51.099000000000004</v>
      </c>
      <c r="R18" s="41">
        <f t="shared" si="9"/>
        <v>0</v>
      </c>
      <c r="S18" s="41">
        <f t="shared" si="10"/>
        <v>0</v>
      </c>
      <c r="T18" s="3">
        <f t="shared" si="11"/>
        <v>51.099000000000004</v>
      </c>
      <c r="U18" s="24">
        <f>IF(U$8&lt;&gt;" ",U$8-0.0001," ")</f>
        <v>51.109899999999996</v>
      </c>
      <c r="V18" s="24">
        <f t="shared" si="12"/>
        <v>0</v>
      </c>
      <c r="W18" s="41">
        <f t="shared" si="13"/>
        <v>0</v>
      </c>
      <c r="X18" s="41">
        <f t="shared" si="14"/>
        <v>51.109899999999996</v>
      </c>
      <c r="Y18" s="45">
        <f>IF(Y$8&lt;&gt;" ",Y$8-0.00001," ")</f>
        <v>51.110989999999994</v>
      </c>
      <c r="Z18" s="24">
        <f t="shared" si="15"/>
        <v>0</v>
      </c>
      <c r="AA18" s="24">
        <f t="shared" si="16"/>
        <v>0</v>
      </c>
      <c r="AB18" s="45">
        <f t="shared" si="17"/>
        <v>51.110989999999994</v>
      </c>
    </row>
    <row r="19" spans="1:28" ht="12.75">
      <c r="A19" s="12">
        <f t="shared" si="18"/>
        <v>0</v>
      </c>
      <c r="B19" s="11" t="str">
        <f t="shared" si="18"/>
        <v> </v>
      </c>
      <c r="C19" s="12">
        <f t="shared" si="18"/>
        <v>0</v>
      </c>
      <c r="D19" s="12">
        <v>10</v>
      </c>
      <c r="E19" s="3">
        <f t="shared" si="0"/>
        <v>0</v>
      </c>
      <c r="F19" s="3">
        <f t="shared" si="1"/>
        <v>0</v>
      </c>
      <c r="G19" s="3">
        <f t="shared" si="2"/>
        <v>0</v>
      </c>
      <c r="H19" s="3">
        <f t="shared" si="3"/>
        <v>10</v>
      </c>
      <c r="I19" s="21">
        <f>IF(I$8&lt;&gt;" ",I$8," ")</f>
        <v>50</v>
      </c>
      <c r="J19" s="3">
        <f t="shared" si="19"/>
        <v>0</v>
      </c>
      <c r="K19" s="3">
        <f t="shared" si="4"/>
        <v>0</v>
      </c>
      <c r="L19" s="3">
        <f t="shared" si="5"/>
        <v>50</v>
      </c>
      <c r="M19" s="3">
        <f>IF(M$8&lt;&gt;" ",M$8+0.00000001," ")</f>
        <v>51.00000001</v>
      </c>
      <c r="N19" s="3">
        <f t="shared" si="6"/>
        <v>0</v>
      </c>
      <c r="O19" s="3">
        <f t="shared" si="7"/>
        <v>0</v>
      </c>
      <c r="P19" s="3">
        <f t="shared" si="8"/>
        <v>51.00000001</v>
      </c>
      <c r="Q19" s="41">
        <f>IF(Q$8&lt;&gt;" ",Q$8+0.00000001," ")</f>
        <v>51.10000001</v>
      </c>
      <c r="R19" s="41">
        <f t="shared" si="9"/>
        <v>0</v>
      </c>
      <c r="S19" s="41">
        <f t="shared" si="10"/>
        <v>0</v>
      </c>
      <c r="T19" s="3">
        <f t="shared" si="11"/>
        <v>51.10000001</v>
      </c>
      <c r="U19" s="24">
        <f>IF(U$8&lt;&gt;" ",U$8+0.00000001," ")</f>
        <v>51.11000001</v>
      </c>
      <c r="V19" s="24">
        <f t="shared" si="12"/>
        <v>0</v>
      </c>
      <c r="W19" s="41">
        <f t="shared" si="13"/>
        <v>0</v>
      </c>
      <c r="X19" s="41">
        <f t="shared" si="14"/>
        <v>51.11000001</v>
      </c>
      <c r="Y19" s="45">
        <f>IF(Y$8&lt;&gt;" ",Y$8+0.00000001," ")</f>
        <v>51.11100001</v>
      </c>
      <c r="Z19" s="24">
        <f t="shared" si="15"/>
        <v>0</v>
      </c>
      <c r="AA19" s="24">
        <f t="shared" si="16"/>
        <v>0</v>
      </c>
      <c r="AB19" s="45">
        <f t="shared" si="17"/>
        <v>51.11100001</v>
      </c>
    </row>
    <row r="20" spans="1:28" ht="12.75">
      <c r="A20" s="12">
        <f t="shared" si="18"/>
        <v>0</v>
      </c>
      <c r="B20" s="11" t="str">
        <f t="shared" si="18"/>
        <v> </v>
      </c>
      <c r="C20" s="12">
        <f t="shared" si="18"/>
        <v>0</v>
      </c>
      <c r="D20" s="12">
        <v>11</v>
      </c>
      <c r="E20" s="3">
        <f t="shared" si="0"/>
        <v>0</v>
      </c>
      <c r="F20" s="3">
        <f t="shared" si="1"/>
        <v>0</v>
      </c>
      <c r="G20" s="3">
        <f t="shared" si="2"/>
        <v>0</v>
      </c>
      <c r="H20" s="3">
        <f t="shared" si="3"/>
        <v>11</v>
      </c>
      <c r="I20" s="21">
        <f>IF(I$8&lt;&gt;" ",I$8+0.1," ")</f>
        <v>50.1</v>
      </c>
      <c r="J20" s="3">
        <f t="shared" si="19"/>
        <v>0</v>
      </c>
      <c r="K20" s="3">
        <f t="shared" si="4"/>
        <v>0</v>
      </c>
      <c r="L20" s="3">
        <f t="shared" si="5"/>
        <v>50.1</v>
      </c>
      <c r="M20" s="3">
        <f>IF(M$8&lt;&gt;" ",M$8+0.01," ")</f>
        <v>51.01</v>
      </c>
      <c r="N20" s="3">
        <f t="shared" si="6"/>
        <v>0</v>
      </c>
      <c r="O20" s="3">
        <f t="shared" si="7"/>
        <v>0</v>
      </c>
      <c r="P20" s="3">
        <f t="shared" si="8"/>
        <v>51.01</v>
      </c>
      <c r="Q20" s="41">
        <f>IF(Q$8&lt;&gt;" ",Q$8+0.001," ")</f>
        <v>51.101</v>
      </c>
      <c r="R20" s="41">
        <f t="shared" si="9"/>
        <v>0</v>
      </c>
      <c r="S20" s="41">
        <f t="shared" si="10"/>
        <v>0</v>
      </c>
      <c r="T20" s="3">
        <f t="shared" si="11"/>
        <v>51.101</v>
      </c>
      <c r="U20" s="24">
        <f>IF(U$8&lt;&gt;" ",U$8+0.0001," ")</f>
        <v>51.1101</v>
      </c>
      <c r="V20" s="24">
        <f t="shared" si="12"/>
        <v>0</v>
      </c>
      <c r="W20" s="41">
        <f t="shared" si="13"/>
        <v>0</v>
      </c>
      <c r="X20" s="41">
        <f t="shared" si="14"/>
        <v>51.1101</v>
      </c>
      <c r="Y20" s="45">
        <f>IF(Y$8&lt;&gt;" ",Y$8+0.00001," ")</f>
        <v>51.11101</v>
      </c>
      <c r="Z20" s="24">
        <f t="shared" si="15"/>
        <v>0</v>
      </c>
      <c r="AA20" s="24">
        <f t="shared" si="16"/>
        <v>0</v>
      </c>
      <c r="AB20" s="45">
        <f t="shared" si="17"/>
        <v>51.11101</v>
      </c>
    </row>
    <row r="21" spans="1:28" ht="12.75">
      <c r="A21" s="12">
        <f t="shared" si="18"/>
        <v>0</v>
      </c>
      <c r="B21" s="11" t="str">
        <f t="shared" si="18"/>
        <v> </v>
      </c>
      <c r="C21" s="12">
        <f t="shared" si="18"/>
        <v>0</v>
      </c>
      <c r="D21" s="12">
        <v>12</v>
      </c>
      <c r="E21" s="3">
        <f t="shared" si="0"/>
        <v>0</v>
      </c>
      <c r="F21" s="3">
        <f t="shared" si="1"/>
        <v>0</v>
      </c>
      <c r="G21" s="3">
        <f t="shared" si="2"/>
        <v>0</v>
      </c>
      <c r="H21" s="3">
        <f t="shared" si="3"/>
        <v>12</v>
      </c>
      <c r="I21" s="21">
        <f>IF(I$8&lt;&gt;" ",I$8+0.2," ")</f>
        <v>50.2</v>
      </c>
      <c r="J21" s="3">
        <f t="shared" si="19"/>
        <v>0</v>
      </c>
      <c r="K21" s="3">
        <f t="shared" si="4"/>
        <v>0</v>
      </c>
      <c r="L21" s="3">
        <f t="shared" si="5"/>
        <v>50.2</v>
      </c>
      <c r="M21" s="3">
        <f>IF(M$8&lt;&gt;" ",M$8+0.02," ")</f>
        <v>51.02</v>
      </c>
      <c r="N21" s="3">
        <f t="shared" si="6"/>
        <v>0</v>
      </c>
      <c r="O21" s="3">
        <f t="shared" si="7"/>
        <v>0</v>
      </c>
      <c r="P21" s="3">
        <f t="shared" si="8"/>
        <v>51.02</v>
      </c>
      <c r="Q21" s="41">
        <f>IF(Q$8&lt;&gt;" ",Q$8+0.002," ")</f>
        <v>51.102000000000004</v>
      </c>
      <c r="R21" s="41">
        <f t="shared" si="9"/>
        <v>0</v>
      </c>
      <c r="S21" s="41">
        <f t="shared" si="10"/>
        <v>0</v>
      </c>
      <c r="T21" s="3">
        <f t="shared" si="11"/>
        <v>51.102000000000004</v>
      </c>
      <c r="U21" s="24">
        <f>IF(U$8&lt;&gt;" ",U$8+0.0002," ")</f>
        <v>51.1102</v>
      </c>
      <c r="V21" s="24">
        <f t="shared" si="12"/>
        <v>0</v>
      </c>
      <c r="W21" s="41">
        <f t="shared" si="13"/>
        <v>0</v>
      </c>
      <c r="X21" s="41">
        <f t="shared" si="14"/>
        <v>51.1102</v>
      </c>
      <c r="Y21" s="45">
        <f>IF(Y$8&lt;&gt;" ",Y$8+0.00002," ")</f>
        <v>51.111019999999996</v>
      </c>
      <c r="Z21" s="24">
        <f t="shared" si="15"/>
        <v>0</v>
      </c>
      <c r="AA21" s="24">
        <f t="shared" si="16"/>
        <v>0</v>
      </c>
      <c r="AB21" s="45">
        <f t="shared" si="17"/>
        <v>51.111019999999996</v>
      </c>
    </row>
    <row r="22" spans="1:28" ht="12.75">
      <c r="A22" s="12">
        <f t="shared" si="18"/>
        <v>0</v>
      </c>
      <c r="B22" s="11" t="str">
        <f t="shared" si="18"/>
        <v> </v>
      </c>
      <c r="C22" s="12">
        <f t="shared" si="18"/>
        <v>0</v>
      </c>
      <c r="D22" s="12">
        <v>13</v>
      </c>
      <c r="E22" s="3">
        <f t="shared" si="0"/>
        <v>0</v>
      </c>
      <c r="F22" s="3">
        <f t="shared" si="1"/>
        <v>0</v>
      </c>
      <c r="G22" s="3">
        <f t="shared" si="2"/>
        <v>0</v>
      </c>
      <c r="H22" s="3">
        <f t="shared" si="3"/>
        <v>13</v>
      </c>
      <c r="I22" s="21">
        <f>IF(I$8&lt;&gt;" ",I$8+0.3," ")</f>
        <v>50.3</v>
      </c>
      <c r="J22" s="3">
        <f t="shared" si="19"/>
        <v>0</v>
      </c>
      <c r="K22" s="3">
        <f t="shared" si="4"/>
        <v>0</v>
      </c>
      <c r="L22" s="3">
        <f t="shared" si="5"/>
        <v>50.3</v>
      </c>
      <c r="M22" s="3">
        <f>IF(M$8&lt;&gt;" ",M$8+0.03," ")</f>
        <v>51.03</v>
      </c>
      <c r="N22" s="3">
        <f t="shared" si="6"/>
        <v>0</v>
      </c>
      <c r="O22" s="3">
        <f t="shared" si="7"/>
        <v>0</v>
      </c>
      <c r="P22" s="3">
        <f t="shared" si="8"/>
        <v>51.03</v>
      </c>
      <c r="Q22" s="41">
        <f>IF(Q$8&lt;&gt;" ",Q$8+0.003," ")</f>
        <v>51.103</v>
      </c>
      <c r="R22" s="41">
        <f t="shared" si="9"/>
        <v>0</v>
      </c>
      <c r="S22" s="41">
        <f t="shared" si="10"/>
        <v>0</v>
      </c>
      <c r="T22" s="3">
        <f t="shared" si="11"/>
        <v>51.103</v>
      </c>
      <c r="U22" s="24">
        <f>IF(U$8&lt;&gt;" ",U$8+0.0003," ")</f>
        <v>51.1103</v>
      </c>
      <c r="V22" s="24">
        <f t="shared" si="12"/>
        <v>0</v>
      </c>
      <c r="W22" s="41">
        <f t="shared" si="13"/>
        <v>0</v>
      </c>
      <c r="X22" s="41">
        <f t="shared" si="14"/>
        <v>51.1103</v>
      </c>
      <c r="Y22" s="45">
        <f>IF(Y$8&lt;&gt;" ",Y$8+0.00003," ")</f>
        <v>51.11103</v>
      </c>
      <c r="Z22" s="24">
        <f t="shared" si="15"/>
        <v>0</v>
      </c>
      <c r="AA22" s="24">
        <f t="shared" si="16"/>
        <v>0</v>
      </c>
      <c r="AB22" s="45">
        <f t="shared" si="17"/>
        <v>51.11103</v>
      </c>
    </row>
    <row r="23" spans="1:28" ht="12.75">
      <c r="A23" s="12">
        <f t="shared" si="18"/>
        <v>0</v>
      </c>
      <c r="B23" s="11" t="str">
        <f t="shared" si="18"/>
        <v> </v>
      </c>
      <c r="C23" s="12">
        <f t="shared" si="18"/>
        <v>0</v>
      </c>
      <c r="D23" s="12">
        <v>14</v>
      </c>
      <c r="E23" s="3">
        <f t="shared" si="0"/>
        <v>0</v>
      </c>
      <c r="F23" s="3">
        <f t="shared" si="1"/>
        <v>0</v>
      </c>
      <c r="G23" s="3">
        <f t="shared" si="2"/>
        <v>0</v>
      </c>
      <c r="H23" s="3">
        <f t="shared" si="3"/>
        <v>14</v>
      </c>
      <c r="I23" s="21">
        <f>IF(I$8&lt;&gt;" ",I$8+0.4," ")</f>
        <v>50.4</v>
      </c>
      <c r="J23" s="3">
        <f t="shared" si="19"/>
        <v>0</v>
      </c>
      <c r="K23" s="3">
        <f t="shared" si="4"/>
        <v>0</v>
      </c>
      <c r="L23" s="3">
        <f t="shared" si="5"/>
        <v>50.4</v>
      </c>
      <c r="M23" s="3">
        <f>IF(M$8&lt;&gt;" ",M$8+0.04," ")</f>
        <v>51.04</v>
      </c>
      <c r="N23" s="3">
        <f t="shared" si="6"/>
        <v>0</v>
      </c>
      <c r="O23" s="3">
        <f t="shared" si="7"/>
        <v>0</v>
      </c>
      <c r="P23" s="3">
        <f t="shared" si="8"/>
        <v>51.04</v>
      </c>
      <c r="Q23" s="41">
        <f>IF(Q$8&lt;&gt;" ",Q$8+0.004," ")</f>
        <v>51.104</v>
      </c>
      <c r="R23" s="41">
        <f t="shared" si="9"/>
        <v>0</v>
      </c>
      <c r="S23" s="41">
        <f t="shared" si="10"/>
        <v>0</v>
      </c>
      <c r="T23" s="3">
        <f t="shared" si="11"/>
        <v>51.104</v>
      </c>
      <c r="U23" s="24">
        <f>IF(U$8&lt;&gt;" ",U$8+0.0004," ")</f>
        <v>51.1104</v>
      </c>
      <c r="V23" s="24">
        <f t="shared" si="12"/>
        <v>0</v>
      </c>
      <c r="W23" s="41">
        <f t="shared" si="13"/>
        <v>0</v>
      </c>
      <c r="X23" s="41">
        <f t="shared" si="14"/>
        <v>51.1104</v>
      </c>
      <c r="Y23" s="45">
        <f>IF(Y$8&lt;&gt;" ",Y$8+0.00004," ")</f>
        <v>51.111039999999996</v>
      </c>
      <c r="Z23" s="24">
        <f t="shared" si="15"/>
        <v>0</v>
      </c>
      <c r="AA23" s="24">
        <f t="shared" si="16"/>
        <v>0</v>
      </c>
      <c r="AB23" s="45">
        <f t="shared" si="17"/>
        <v>51.111039999999996</v>
      </c>
    </row>
    <row r="24" spans="1:28" ht="12.75">
      <c r="A24" s="12">
        <f t="shared" si="18"/>
        <v>0</v>
      </c>
      <c r="B24" s="11" t="str">
        <f t="shared" si="18"/>
        <v> </v>
      </c>
      <c r="C24" s="12">
        <f t="shared" si="18"/>
        <v>0</v>
      </c>
      <c r="D24" s="12">
        <v>15</v>
      </c>
      <c r="E24" s="3">
        <f t="shared" si="0"/>
        <v>0</v>
      </c>
      <c r="F24" s="3">
        <f t="shared" si="1"/>
        <v>0</v>
      </c>
      <c r="G24" s="3">
        <f t="shared" si="2"/>
        <v>0</v>
      </c>
      <c r="H24" s="3">
        <f t="shared" si="3"/>
        <v>15</v>
      </c>
      <c r="I24" s="21">
        <f>IF(I$8&lt;&gt;" ",I$8+0.5," ")</f>
        <v>50.5</v>
      </c>
      <c r="J24" s="3">
        <f t="shared" si="19"/>
        <v>0</v>
      </c>
      <c r="K24" s="3">
        <f t="shared" si="4"/>
        <v>0</v>
      </c>
      <c r="L24" s="3">
        <f t="shared" si="5"/>
        <v>50.5</v>
      </c>
      <c r="M24" s="3">
        <f>IF(M$8&lt;&gt;" ",M$8+0.05," ")</f>
        <v>51.05</v>
      </c>
      <c r="N24" s="3">
        <f t="shared" si="6"/>
        <v>0</v>
      </c>
      <c r="O24" s="3">
        <f t="shared" si="7"/>
        <v>0</v>
      </c>
      <c r="P24" s="3">
        <f t="shared" si="8"/>
        <v>51.05</v>
      </c>
      <c r="Q24" s="41">
        <f>IF(Q$8&lt;&gt;" ",Q$8+0.005," ")</f>
        <v>51.105000000000004</v>
      </c>
      <c r="R24" s="41">
        <f t="shared" si="9"/>
        <v>0</v>
      </c>
      <c r="S24" s="41">
        <f t="shared" si="10"/>
        <v>0</v>
      </c>
      <c r="T24" s="3">
        <f t="shared" si="11"/>
        <v>51.105000000000004</v>
      </c>
      <c r="U24" s="24">
        <f>IF(U$8&lt;&gt;" ",U$8+0.0005," ")</f>
        <v>51.1105</v>
      </c>
      <c r="V24" s="24">
        <f t="shared" si="12"/>
        <v>0</v>
      </c>
      <c r="W24" s="41">
        <f t="shared" si="13"/>
        <v>0</v>
      </c>
      <c r="X24" s="41">
        <f t="shared" si="14"/>
        <v>51.1105</v>
      </c>
      <c r="Y24" s="45">
        <f>IF(Y$8&lt;&gt;" ",Y$8+0.00005," ")</f>
        <v>51.11105</v>
      </c>
      <c r="Z24" s="24">
        <f t="shared" si="15"/>
        <v>0</v>
      </c>
      <c r="AA24" s="24">
        <f t="shared" si="16"/>
        <v>0</v>
      </c>
      <c r="AB24" s="45">
        <f t="shared" si="17"/>
        <v>51.11105</v>
      </c>
    </row>
    <row r="25" spans="1:28" ht="12.75">
      <c r="A25" s="12">
        <f t="shared" si="18"/>
        <v>0</v>
      </c>
      <c r="B25" s="11" t="str">
        <f t="shared" si="18"/>
        <v> </v>
      </c>
      <c r="C25" s="12">
        <f t="shared" si="18"/>
        <v>0</v>
      </c>
      <c r="D25" s="12">
        <v>16</v>
      </c>
      <c r="E25" s="3">
        <f t="shared" si="0"/>
        <v>0</v>
      </c>
      <c r="F25" s="3">
        <f t="shared" si="1"/>
        <v>0</v>
      </c>
      <c r="G25" s="3">
        <f t="shared" si="2"/>
        <v>0</v>
      </c>
      <c r="H25" s="3">
        <f t="shared" si="3"/>
        <v>16</v>
      </c>
      <c r="I25" s="21">
        <f>IF(I$8&lt;&gt;" ",I$8+0.6," ")</f>
        <v>50.6</v>
      </c>
      <c r="J25" s="3">
        <f t="shared" si="19"/>
        <v>0</v>
      </c>
      <c r="K25" s="3">
        <f t="shared" si="4"/>
        <v>0</v>
      </c>
      <c r="L25" s="3">
        <f t="shared" si="5"/>
        <v>50.6</v>
      </c>
      <c r="M25" s="3">
        <f>IF(M$8&lt;&gt;" ",M$8+0.06," ")</f>
        <v>51.06</v>
      </c>
      <c r="N25" s="3">
        <f t="shared" si="6"/>
        <v>0</v>
      </c>
      <c r="O25" s="3">
        <f t="shared" si="7"/>
        <v>0</v>
      </c>
      <c r="P25" s="3">
        <f t="shared" si="8"/>
        <v>51.06</v>
      </c>
      <c r="Q25" s="41">
        <f>IF(Q$8&lt;&gt;" ",Q$8+0.006," ")</f>
        <v>51.106</v>
      </c>
      <c r="R25" s="41">
        <f t="shared" si="9"/>
        <v>0</v>
      </c>
      <c r="S25" s="41">
        <f t="shared" si="10"/>
        <v>0</v>
      </c>
      <c r="T25" s="3">
        <f t="shared" si="11"/>
        <v>51.106</v>
      </c>
      <c r="U25" s="24">
        <f>IF(U$8&lt;&gt;" ",U$8+0.0006," ")</f>
        <v>51.1106</v>
      </c>
      <c r="V25" s="24">
        <f t="shared" si="12"/>
        <v>0</v>
      </c>
      <c r="W25" s="41">
        <f t="shared" si="13"/>
        <v>0</v>
      </c>
      <c r="X25" s="41">
        <f t="shared" si="14"/>
        <v>51.1106</v>
      </c>
      <c r="Y25" s="45">
        <f>IF(Y$8&lt;&gt;" ",Y$8+0.00006," ")</f>
        <v>51.111059999999995</v>
      </c>
      <c r="Z25" s="24">
        <f t="shared" si="15"/>
        <v>0</v>
      </c>
      <c r="AA25" s="24">
        <f t="shared" si="16"/>
        <v>0</v>
      </c>
      <c r="AB25" s="45">
        <f t="shared" si="17"/>
        <v>51.111059999999995</v>
      </c>
    </row>
    <row r="26" spans="1:28" ht="12.75">
      <c r="A26" s="12">
        <f t="shared" si="18"/>
        <v>0</v>
      </c>
      <c r="B26" s="11" t="str">
        <f t="shared" si="18"/>
        <v> </v>
      </c>
      <c r="C26" s="12">
        <f t="shared" si="18"/>
        <v>0</v>
      </c>
      <c r="D26" s="12">
        <v>17</v>
      </c>
      <c r="E26" s="3">
        <f t="shared" si="0"/>
        <v>0</v>
      </c>
      <c r="F26" s="3">
        <f t="shared" si="1"/>
        <v>0</v>
      </c>
      <c r="G26" s="3">
        <f t="shared" si="2"/>
        <v>0</v>
      </c>
      <c r="H26" s="3">
        <f t="shared" si="3"/>
        <v>17</v>
      </c>
      <c r="I26" s="21">
        <f>IF(I$8&lt;&gt;" ",I$8+0.7," ")</f>
        <v>50.7</v>
      </c>
      <c r="J26" s="3">
        <f t="shared" si="19"/>
        <v>0</v>
      </c>
      <c r="K26" s="3">
        <f t="shared" si="4"/>
        <v>0</v>
      </c>
      <c r="L26" s="3">
        <f t="shared" si="5"/>
        <v>50.7</v>
      </c>
      <c r="M26" s="3">
        <f>IF(M$8&lt;&gt;" ",M$8+0.07," ")</f>
        <v>51.07</v>
      </c>
      <c r="N26" s="3">
        <f t="shared" si="6"/>
        <v>0</v>
      </c>
      <c r="O26" s="3">
        <f t="shared" si="7"/>
        <v>0</v>
      </c>
      <c r="P26" s="3">
        <f t="shared" si="8"/>
        <v>51.07</v>
      </c>
      <c r="Q26" s="41">
        <f>IF(Q$8&lt;&gt;" ",Q$8+0.007," ")</f>
        <v>51.107</v>
      </c>
      <c r="R26" s="41">
        <f t="shared" si="9"/>
        <v>0</v>
      </c>
      <c r="S26" s="41">
        <f t="shared" si="10"/>
        <v>0</v>
      </c>
      <c r="T26" s="3">
        <f t="shared" si="11"/>
        <v>51.107</v>
      </c>
      <c r="U26" s="24">
        <f>IF(U$8&lt;&gt;" ",U$8+0.0007," ")</f>
        <v>51.1107</v>
      </c>
      <c r="V26" s="24">
        <f t="shared" si="12"/>
        <v>0</v>
      </c>
      <c r="W26" s="41">
        <f t="shared" si="13"/>
        <v>0</v>
      </c>
      <c r="X26" s="41">
        <f t="shared" si="14"/>
        <v>51.1107</v>
      </c>
      <c r="Y26" s="45">
        <f>IF(Y$8&lt;&gt;" ",Y$8+0.00007," ")</f>
        <v>51.11107</v>
      </c>
      <c r="Z26" s="24">
        <f t="shared" si="15"/>
        <v>0</v>
      </c>
      <c r="AA26" s="24">
        <f t="shared" si="16"/>
        <v>0</v>
      </c>
      <c r="AB26" s="45">
        <f t="shared" si="17"/>
        <v>51.11107</v>
      </c>
    </row>
    <row r="27" spans="1:28" ht="12.75">
      <c r="A27" s="12">
        <f t="shared" si="18"/>
        <v>0</v>
      </c>
      <c r="B27" s="11" t="str">
        <f t="shared" si="18"/>
        <v> </v>
      </c>
      <c r="C27" s="12">
        <f t="shared" si="18"/>
        <v>0</v>
      </c>
      <c r="D27" s="12">
        <v>18</v>
      </c>
      <c r="E27" s="3">
        <f t="shared" si="0"/>
        <v>0</v>
      </c>
      <c r="F27" s="3">
        <f t="shared" si="1"/>
        <v>0</v>
      </c>
      <c r="G27" s="3">
        <f t="shared" si="2"/>
        <v>0</v>
      </c>
      <c r="H27" s="3">
        <f t="shared" si="3"/>
        <v>18</v>
      </c>
      <c r="I27" s="21">
        <f>IF(I$8&lt;&gt;" ",I$8+0.8," ")</f>
        <v>50.8</v>
      </c>
      <c r="J27" s="3">
        <f t="shared" si="19"/>
        <v>0</v>
      </c>
      <c r="K27" s="3">
        <f t="shared" si="4"/>
        <v>0</v>
      </c>
      <c r="L27" s="3">
        <f t="shared" si="5"/>
        <v>50.8</v>
      </c>
      <c r="M27" s="3">
        <f>IF(M$8&lt;&gt;" ",M$8+0.08," ")</f>
        <v>51.08</v>
      </c>
      <c r="N27" s="3">
        <f t="shared" si="6"/>
        <v>0</v>
      </c>
      <c r="O27" s="3">
        <f t="shared" si="7"/>
        <v>0</v>
      </c>
      <c r="P27" s="3">
        <f t="shared" si="8"/>
        <v>51.08</v>
      </c>
      <c r="Q27" s="41">
        <f>IF(Q$8&lt;&gt;" ",Q$8+0.008," ")</f>
        <v>51.108000000000004</v>
      </c>
      <c r="R27" s="41">
        <f t="shared" si="9"/>
        <v>0</v>
      </c>
      <c r="S27" s="41">
        <f t="shared" si="10"/>
        <v>0</v>
      </c>
      <c r="T27" s="3">
        <f t="shared" si="11"/>
        <v>51.108000000000004</v>
      </c>
      <c r="U27" s="24">
        <f>IF(U$8&lt;&gt;" ",U$8+0.0008," ")</f>
        <v>51.1108</v>
      </c>
      <c r="V27" s="24">
        <f t="shared" si="12"/>
        <v>0</v>
      </c>
      <c r="W27" s="41">
        <f t="shared" si="13"/>
        <v>0</v>
      </c>
      <c r="X27" s="41">
        <f t="shared" si="14"/>
        <v>51.1108</v>
      </c>
      <c r="Y27" s="45">
        <f>IF(Y$8&lt;&gt;" ",Y$8+0.00008," ")</f>
        <v>51.111079999999994</v>
      </c>
      <c r="Z27" s="24">
        <f t="shared" si="15"/>
        <v>0</v>
      </c>
      <c r="AA27" s="24">
        <f t="shared" si="16"/>
        <v>0</v>
      </c>
      <c r="AB27" s="45">
        <f t="shared" si="17"/>
        <v>51.111079999999994</v>
      </c>
    </row>
    <row r="28" spans="1:28" ht="12.75">
      <c r="A28" s="12">
        <f t="shared" si="18"/>
        <v>0</v>
      </c>
      <c r="B28" s="11" t="str">
        <f t="shared" si="18"/>
        <v> </v>
      </c>
      <c r="C28" s="12">
        <f t="shared" si="18"/>
        <v>0</v>
      </c>
      <c r="D28" s="12">
        <v>19</v>
      </c>
      <c r="E28" s="3">
        <f t="shared" si="0"/>
        <v>0</v>
      </c>
      <c r="F28" s="3">
        <f t="shared" si="1"/>
        <v>0</v>
      </c>
      <c r="G28" s="3">
        <f t="shared" si="2"/>
        <v>0</v>
      </c>
      <c r="H28" s="3">
        <f t="shared" si="3"/>
        <v>19</v>
      </c>
      <c r="I28" s="21">
        <f>IF(I$8&lt;&gt;" ",I$8+0.9," ")</f>
        <v>50.9</v>
      </c>
      <c r="J28" s="3">
        <f t="shared" si="19"/>
        <v>0</v>
      </c>
      <c r="K28" s="3">
        <f t="shared" si="4"/>
        <v>0</v>
      </c>
      <c r="L28" s="3">
        <f t="shared" si="5"/>
        <v>50.9</v>
      </c>
      <c r="M28" s="3">
        <f>IF(M$8&lt;&gt;" ",M$8+0.09," ")</f>
        <v>51.09</v>
      </c>
      <c r="N28" s="3">
        <f t="shared" si="6"/>
        <v>0</v>
      </c>
      <c r="O28" s="3">
        <f t="shared" si="7"/>
        <v>0</v>
      </c>
      <c r="P28" s="3">
        <f t="shared" si="8"/>
        <v>51.09</v>
      </c>
      <c r="Q28" s="41">
        <f>IF(Q$8&lt;&gt;" ",Q$8+0.009," ")</f>
        <v>51.109</v>
      </c>
      <c r="R28" s="41">
        <f t="shared" si="9"/>
        <v>0</v>
      </c>
      <c r="S28" s="41">
        <f t="shared" si="10"/>
        <v>0</v>
      </c>
      <c r="T28" s="3">
        <f t="shared" si="11"/>
        <v>51.109</v>
      </c>
      <c r="U28" s="24">
        <f>IF(U$8&lt;&gt;" ",U$8+0.0009," ")</f>
        <v>51.1109</v>
      </c>
      <c r="V28" s="24">
        <f t="shared" si="12"/>
        <v>0</v>
      </c>
      <c r="W28" s="41">
        <f t="shared" si="13"/>
        <v>0</v>
      </c>
      <c r="X28" s="41">
        <f t="shared" si="14"/>
        <v>51.1109</v>
      </c>
      <c r="Y28" s="45">
        <f>IF(Y$8&lt;&gt;" ",Y$8+0.00009," ")</f>
        <v>51.11109</v>
      </c>
      <c r="Z28" s="24">
        <f t="shared" si="15"/>
        <v>0</v>
      </c>
      <c r="AA28" s="24">
        <f t="shared" si="16"/>
        <v>0</v>
      </c>
      <c r="AB28" s="45">
        <f t="shared" si="17"/>
        <v>51.11109</v>
      </c>
    </row>
    <row r="29" spans="1:28" ht="12.75">
      <c r="A29" s="12">
        <f t="shared" si="18"/>
        <v>0</v>
      </c>
      <c r="B29" s="11" t="str">
        <f t="shared" si="18"/>
        <v> </v>
      </c>
      <c r="C29" s="12">
        <f t="shared" si="18"/>
        <v>0</v>
      </c>
      <c r="D29" s="12">
        <v>20</v>
      </c>
      <c r="E29" s="3">
        <f t="shared" si="0"/>
        <v>0</v>
      </c>
      <c r="F29" s="3">
        <f t="shared" si="1"/>
        <v>0</v>
      </c>
      <c r="G29" s="3">
        <f t="shared" si="2"/>
        <v>0</v>
      </c>
      <c r="H29" s="3">
        <f t="shared" si="3"/>
        <v>20</v>
      </c>
      <c r="I29" s="21">
        <f>IF(I$8&lt;&gt;" ",I$8+1," ")</f>
        <v>51</v>
      </c>
      <c r="J29" s="3">
        <f t="shared" si="19"/>
        <v>0</v>
      </c>
      <c r="K29" s="3">
        <f t="shared" si="4"/>
        <v>0</v>
      </c>
      <c r="L29" s="3">
        <f t="shared" si="5"/>
        <v>51</v>
      </c>
      <c r="M29" s="3">
        <f>IF(M$8&lt;&gt;" ",M$8+0.1," ")</f>
        <v>51.1</v>
      </c>
      <c r="N29" s="3">
        <f t="shared" si="6"/>
        <v>0</v>
      </c>
      <c r="O29" s="3">
        <f t="shared" si="7"/>
        <v>0</v>
      </c>
      <c r="P29" s="3">
        <f t="shared" si="8"/>
        <v>51.1</v>
      </c>
      <c r="Q29" s="41">
        <f>IF(Q$8&lt;&gt;" ",Q$8+0.01," ")</f>
        <v>51.11</v>
      </c>
      <c r="R29" s="41">
        <f t="shared" si="9"/>
        <v>0</v>
      </c>
      <c r="S29" s="41">
        <f t="shared" si="10"/>
        <v>0</v>
      </c>
      <c r="T29" s="3">
        <f t="shared" si="11"/>
        <v>51.11</v>
      </c>
      <c r="U29" s="24">
        <f>IF(U$8&lt;&gt;" ",U$8+0.001," ")</f>
        <v>51.111</v>
      </c>
      <c r="V29" s="24">
        <f t="shared" si="12"/>
        <v>0</v>
      </c>
      <c r="W29" s="41">
        <f t="shared" si="13"/>
        <v>0</v>
      </c>
      <c r="X29" s="41">
        <f t="shared" si="14"/>
        <v>51.111</v>
      </c>
      <c r="Y29" s="45">
        <f>IF(Y$8&lt;&gt;" ",Y$8+0.0001," ")</f>
        <v>51.1111</v>
      </c>
      <c r="Z29" s="24">
        <f t="shared" si="15"/>
        <v>0</v>
      </c>
      <c r="AA29" s="24">
        <f t="shared" si="16"/>
        <v>0</v>
      </c>
      <c r="AB29" s="45">
        <f t="shared" si="17"/>
        <v>51.1111</v>
      </c>
    </row>
    <row r="30" spans="1:8" ht="12.75">
      <c r="A30" s="12">
        <f t="shared" si="18"/>
        <v>0</v>
      </c>
      <c r="B30" s="11" t="str">
        <f t="shared" si="18"/>
        <v> </v>
      </c>
      <c r="C30" s="12">
        <f t="shared" si="18"/>
        <v>0</v>
      </c>
      <c r="D30" s="12">
        <v>21</v>
      </c>
      <c r="E30" s="3">
        <f t="shared" si="0"/>
        <v>0</v>
      </c>
      <c r="F30" s="3">
        <f t="shared" si="1"/>
        <v>0</v>
      </c>
      <c r="G30" s="3">
        <f t="shared" si="2"/>
        <v>0</v>
      </c>
      <c r="H30" s="3">
        <f t="shared" si="3"/>
        <v>21</v>
      </c>
    </row>
    <row r="31" spans="1:8" ht="12.75">
      <c r="A31" s="12">
        <f t="shared" si="18"/>
        <v>0</v>
      </c>
      <c r="B31" s="11" t="str">
        <f t="shared" si="18"/>
        <v> </v>
      </c>
      <c r="C31" s="12">
        <f t="shared" si="18"/>
        <v>0</v>
      </c>
      <c r="D31" s="12">
        <v>22</v>
      </c>
      <c r="E31" s="3">
        <f t="shared" si="0"/>
        <v>0</v>
      </c>
      <c r="F31" s="3">
        <f t="shared" si="1"/>
        <v>0</v>
      </c>
      <c r="G31" s="3">
        <f t="shared" si="2"/>
        <v>0</v>
      </c>
      <c r="H31" s="3">
        <f t="shared" si="3"/>
        <v>22</v>
      </c>
    </row>
    <row r="32" spans="1:8" ht="12.75">
      <c r="A32" s="12">
        <f t="shared" si="18"/>
        <v>0</v>
      </c>
      <c r="B32" s="11" t="str">
        <f t="shared" si="18"/>
        <v> </v>
      </c>
      <c r="C32" s="12">
        <f t="shared" si="18"/>
        <v>0</v>
      </c>
      <c r="D32" s="12">
        <v>23</v>
      </c>
      <c r="E32" s="3">
        <f t="shared" si="0"/>
        <v>0</v>
      </c>
      <c r="F32" s="3">
        <f t="shared" si="1"/>
        <v>0</v>
      </c>
      <c r="G32" s="3">
        <f t="shared" si="2"/>
        <v>0</v>
      </c>
      <c r="H32" s="3">
        <f t="shared" si="3"/>
        <v>23</v>
      </c>
    </row>
    <row r="33" spans="1:8" ht="12.75">
      <c r="A33" s="12">
        <f t="shared" si="18"/>
        <v>0</v>
      </c>
      <c r="B33" s="11" t="str">
        <f t="shared" si="18"/>
        <v> </v>
      </c>
      <c r="C33" s="12">
        <f t="shared" si="18"/>
        <v>0</v>
      </c>
      <c r="D33" s="12">
        <v>24</v>
      </c>
      <c r="E33" s="3">
        <f t="shared" si="0"/>
        <v>0</v>
      </c>
      <c r="F33" s="3">
        <f t="shared" si="1"/>
        <v>0</v>
      </c>
      <c r="G33" s="3">
        <f t="shared" si="2"/>
        <v>0</v>
      </c>
      <c r="H33" s="3">
        <f t="shared" si="3"/>
        <v>24</v>
      </c>
    </row>
    <row r="34" spans="1:8" ht="12.75">
      <c r="A34" s="12">
        <f t="shared" si="18"/>
        <v>0</v>
      </c>
      <c r="B34" s="11" t="str">
        <f t="shared" si="18"/>
        <v> </v>
      </c>
      <c r="C34" s="12">
        <f t="shared" si="18"/>
        <v>0</v>
      </c>
      <c r="D34" s="12">
        <v>25</v>
      </c>
      <c r="E34" s="3">
        <f t="shared" si="0"/>
        <v>0</v>
      </c>
      <c r="F34" s="3">
        <f t="shared" si="1"/>
        <v>0</v>
      </c>
      <c r="G34" s="3">
        <f t="shared" si="2"/>
        <v>0</v>
      </c>
      <c r="H34" s="3">
        <f t="shared" si="3"/>
        <v>25</v>
      </c>
    </row>
    <row r="35" spans="1:8" ht="12.75">
      <c r="A35" s="12">
        <f t="shared" si="18"/>
        <v>0</v>
      </c>
      <c r="B35" s="11" t="str">
        <f t="shared" si="18"/>
        <v> </v>
      </c>
      <c r="C35" s="12">
        <f t="shared" si="18"/>
        <v>0</v>
      </c>
      <c r="D35" s="12">
        <v>26</v>
      </c>
      <c r="E35" s="3">
        <f t="shared" si="0"/>
        <v>0</v>
      </c>
      <c r="F35" s="3">
        <f t="shared" si="1"/>
        <v>0</v>
      </c>
      <c r="G35" s="3">
        <f t="shared" si="2"/>
        <v>0</v>
      </c>
      <c r="H35" s="3">
        <f t="shared" si="3"/>
        <v>26</v>
      </c>
    </row>
    <row r="36" spans="1:8" ht="12.75">
      <c r="A36" s="12">
        <f t="shared" si="18"/>
        <v>0</v>
      </c>
      <c r="B36" s="11" t="str">
        <f t="shared" si="18"/>
        <v> </v>
      </c>
      <c r="C36" s="12">
        <f t="shared" si="18"/>
        <v>0</v>
      </c>
      <c r="D36" s="12">
        <v>27</v>
      </c>
      <c r="E36" s="3">
        <f t="shared" si="0"/>
        <v>0</v>
      </c>
      <c r="F36" s="3">
        <f t="shared" si="1"/>
        <v>0</v>
      </c>
      <c r="G36" s="3">
        <f t="shared" si="2"/>
        <v>0</v>
      </c>
      <c r="H36" s="3">
        <f t="shared" si="3"/>
        <v>27</v>
      </c>
    </row>
    <row r="37" spans="1:8" ht="12.75">
      <c r="A37" s="12">
        <f t="shared" si="18"/>
        <v>0</v>
      </c>
      <c r="B37" s="11" t="str">
        <f t="shared" si="18"/>
        <v> </v>
      </c>
      <c r="C37" s="12">
        <f t="shared" si="18"/>
        <v>0</v>
      </c>
      <c r="D37" s="12">
        <v>28</v>
      </c>
      <c r="E37" s="3">
        <f t="shared" si="0"/>
        <v>0</v>
      </c>
      <c r="F37" s="3">
        <f t="shared" si="1"/>
        <v>0</v>
      </c>
      <c r="G37" s="3">
        <f t="shared" si="2"/>
        <v>0</v>
      </c>
      <c r="H37" s="3">
        <f t="shared" si="3"/>
        <v>28</v>
      </c>
    </row>
    <row r="38" spans="1:8" ht="12.75">
      <c r="A38" s="12">
        <f t="shared" si="18"/>
        <v>0</v>
      </c>
      <c r="B38" s="11" t="str">
        <f t="shared" si="18"/>
        <v> </v>
      </c>
      <c r="C38" s="12">
        <f t="shared" si="18"/>
        <v>0</v>
      </c>
      <c r="D38" s="12">
        <v>29</v>
      </c>
      <c r="E38" s="3">
        <f t="shared" si="0"/>
        <v>0</v>
      </c>
      <c r="F38" s="3">
        <f t="shared" si="1"/>
        <v>0</v>
      </c>
      <c r="G38" s="3">
        <f t="shared" si="2"/>
        <v>0</v>
      </c>
      <c r="H38" s="3">
        <f t="shared" si="3"/>
        <v>29</v>
      </c>
    </row>
    <row r="39" spans="1:8" ht="12.75">
      <c r="A39" s="12">
        <f t="shared" si="18"/>
        <v>0</v>
      </c>
      <c r="B39" s="11" t="str">
        <f t="shared" si="18"/>
        <v> </v>
      </c>
      <c r="C39" s="12">
        <f t="shared" si="18"/>
        <v>0</v>
      </c>
      <c r="D39" s="12">
        <v>30</v>
      </c>
      <c r="E39" s="3">
        <f t="shared" si="0"/>
        <v>0</v>
      </c>
      <c r="F39" s="3">
        <f t="shared" si="1"/>
        <v>0</v>
      </c>
      <c r="G39" s="3">
        <f t="shared" si="2"/>
        <v>0</v>
      </c>
      <c r="H39" s="3">
        <f t="shared" si="3"/>
        <v>30</v>
      </c>
    </row>
    <row r="40" spans="1:8" ht="12.75">
      <c r="A40" s="12">
        <f t="shared" si="18"/>
        <v>0</v>
      </c>
      <c r="B40" s="11" t="str">
        <f t="shared" si="18"/>
        <v> </v>
      </c>
      <c r="C40" s="12">
        <f t="shared" si="18"/>
        <v>0</v>
      </c>
      <c r="D40" s="12">
        <v>31</v>
      </c>
      <c r="E40" s="3">
        <f t="shared" si="0"/>
        <v>0</v>
      </c>
      <c r="F40" s="3">
        <f t="shared" si="1"/>
        <v>0</v>
      </c>
      <c r="G40" s="3">
        <f t="shared" si="2"/>
        <v>0</v>
      </c>
      <c r="H40" s="3">
        <f t="shared" si="3"/>
        <v>31</v>
      </c>
    </row>
    <row r="41" spans="1:8" ht="12.75">
      <c r="A41" s="12">
        <f t="shared" si="18"/>
        <v>0</v>
      </c>
      <c r="B41" s="11" t="str">
        <f t="shared" si="18"/>
        <v> </v>
      </c>
      <c r="C41" s="12">
        <f t="shared" si="18"/>
        <v>0</v>
      </c>
      <c r="D41" s="12">
        <v>32</v>
      </c>
      <c r="E41" s="3">
        <f t="shared" si="0"/>
        <v>0</v>
      </c>
      <c r="F41" s="3">
        <f t="shared" si="1"/>
        <v>0</v>
      </c>
      <c r="G41" s="3">
        <f t="shared" si="2"/>
        <v>0</v>
      </c>
      <c r="H41" s="3">
        <f t="shared" si="3"/>
        <v>32</v>
      </c>
    </row>
    <row r="42" spans="1:8" ht="12.75">
      <c r="A42" s="12">
        <f t="shared" si="18"/>
        <v>0</v>
      </c>
      <c r="B42" s="11" t="str">
        <f t="shared" si="18"/>
        <v> </v>
      </c>
      <c r="C42" s="12">
        <f t="shared" si="18"/>
        <v>0</v>
      </c>
      <c r="D42" s="12">
        <v>33</v>
      </c>
      <c r="E42" s="3">
        <f t="shared" si="0"/>
        <v>0</v>
      </c>
      <c r="F42" s="3">
        <f t="shared" si="1"/>
        <v>0</v>
      </c>
      <c r="G42" s="3">
        <f t="shared" si="2"/>
        <v>0</v>
      </c>
      <c r="H42" s="3">
        <f t="shared" si="3"/>
        <v>33</v>
      </c>
    </row>
    <row r="43" spans="1:8" ht="12.75">
      <c r="A43" s="12">
        <f aca="true" t="shared" si="20" ref="A43:C59">A$9</f>
        <v>0</v>
      </c>
      <c r="B43" s="11" t="str">
        <f t="shared" si="20"/>
        <v> </v>
      </c>
      <c r="C43" s="12">
        <f t="shared" si="20"/>
        <v>0</v>
      </c>
      <c r="D43" s="12">
        <v>34</v>
      </c>
      <c r="E43" s="3">
        <f t="shared" si="0"/>
        <v>0</v>
      </c>
      <c r="F43" s="3">
        <f t="shared" si="1"/>
        <v>0</v>
      </c>
      <c r="G43" s="3">
        <f t="shared" si="2"/>
        <v>0</v>
      </c>
      <c r="H43" s="3">
        <f t="shared" si="3"/>
        <v>34</v>
      </c>
    </row>
    <row r="44" spans="1:8" ht="12.75">
      <c r="A44" s="12">
        <f t="shared" si="20"/>
        <v>0</v>
      </c>
      <c r="B44" s="11" t="str">
        <f t="shared" si="20"/>
        <v> </v>
      </c>
      <c r="C44" s="12">
        <f t="shared" si="20"/>
        <v>0</v>
      </c>
      <c r="D44" s="12">
        <v>35</v>
      </c>
      <c r="E44" s="3">
        <f t="shared" si="0"/>
        <v>0</v>
      </c>
      <c r="F44" s="3">
        <f t="shared" si="1"/>
        <v>0</v>
      </c>
      <c r="G44" s="3">
        <f t="shared" si="2"/>
        <v>0</v>
      </c>
      <c r="H44" s="3">
        <f t="shared" si="3"/>
        <v>35</v>
      </c>
    </row>
    <row r="45" spans="1:8" ht="12.75">
      <c r="A45" s="12">
        <f t="shared" si="20"/>
        <v>0</v>
      </c>
      <c r="B45" s="11" t="str">
        <f t="shared" si="20"/>
        <v> </v>
      </c>
      <c r="C45" s="12">
        <f t="shared" si="20"/>
        <v>0</v>
      </c>
      <c r="D45" s="12">
        <v>36</v>
      </c>
      <c r="E45" s="3">
        <f t="shared" si="0"/>
        <v>0</v>
      </c>
      <c r="F45" s="3">
        <f t="shared" si="1"/>
        <v>0</v>
      </c>
      <c r="G45" s="3">
        <f t="shared" si="2"/>
        <v>0</v>
      </c>
      <c r="H45" s="3">
        <f t="shared" si="3"/>
        <v>36</v>
      </c>
    </row>
    <row r="46" spans="1:8" ht="12.75">
      <c r="A46" s="12">
        <f t="shared" si="20"/>
        <v>0</v>
      </c>
      <c r="B46" s="11" t="str">
        <f t="shared" si="20"/>
        <v> </v>
      </c>
      <c r="C46" s="12">
        <f t="shared" si="20"/>
        <v>0</v>
      </c>
      <c r="D46" s="12">
        <v>37</v>
      </c>
      <c r="E46" s="3">
        <f t="shared" si="0"/>
        <v>0</v>
      </c>
      <c r="F46" s="3">
        <f t="shared" si="1"/>
        <v>0</v>
      </c>
      <c r="G46" s="3">
        <f t="shared" si="2"/>
        <v>0</v>
      </c>
      <c r="H46" s="3">
        <f t="shared" si="3"/>
        <v>37</v>
      </c>
    </row>
    <row r="47" spans="1:8" ht="12.75">
      <c r="A47" s="12">
        <f t="shared" si="20"/>
        <v>0</v>
      </c>
      <c r="B47" s="11" t="str">
        <f t="shared" si="20"/>
        <v> </v>
      </c>
      <c r="C47" s="12">
        <f t="shared" si="20"/>
        <v>0</v>
      </c>
      <c r="D47" s="12">
        <v>38</v>
      </c>
      <c r="E47" s="3">
        <f t="shared" si="0"/>
        <v>0</v>
      </c>
      <c r="F47" s="3">
        <f t="shared" si="1"/>
        <v>0</v>
      </c>
      <c r="G47" s="3">
        <f t="shared" si="2"/>
        <v>0</v>
      </c>
      <c r="H47" s="3">
        <f t="shared" si="3"/>
        <v>38</v>
      </c>
    </row>
    <row r="48" spans="1:8" ht="12.75">
      <c r="A48" s="12">
        <f t="shared" si="20"/>
        <v>0</v>
      </c>
      <c r="B48" s="11" t="str">
        <f t="shared" si="20"/>
        <v> </v>
      </c>
      <c r="C48" s="12">
        <f t="shared" si="20"/>
        <v>0</v>
      </c>
      <c r="D48" s="12">
        <v>39</v>
      </c>
      <c r="E48" s="3">
        <f t="shared" si="0"/>
        <v>0</v>
      </c>
      <c r="F48" s="3">
        <f t="shared" si="1"/>
        <v>0</v>
      </c>
      <c r="G48" s="3">
        <f t="shared" si="2"/>
        <v>0</v>
      </c>
      <c r="H48" s="3">
        <f t="shared" si="3"/>
        <v>39</v>
      </c>
    </row>
    <row r="49" spans="1:8" ht="12.75">
      <c r="A49" s="12">
        <f t="shared" si="20"/>
        <v>0</v>
      </c>
      <c r="B49" s="11" t="str">
        <f t="shared" si="20"/>
        <v> </v>
      </c>
      <c r="C49" s="12">
        <f t="shared" si="20"/>
        <v>0</v>
      </c>
      <c r="D49" s="12">
        <v>40</v>
      </c>
      <c r="E49" s="3">
        <f t="shared" si="0"/>
        <v>0</v>
      </c>
      <c r="F49" s="3">
        <f t="shared" si="1"/>
        <v>0</v>
      </c>
      <c r="G49" s="3">
        <f t="shared" si="2"/>
        <v>0</v>
      </c>
      <c r="H49" s="3">
        <f t="shared" si="3"/>
        <v>40</v>
      </c>
    </row>
    <row r="50" spans="1:8" ht="12.75">
      <c r="A50" s="12">
        <f t="shared" si="20"/>
        <v>0</v>
      </c>
      <c r="B50" s="11" t="str">
        <f t="shared" si="20"/>
        <v> </v>
      </c>
      <c r="C50" s="12">
        <f t="shared" si="20"/>
        <v>0</v>
      </c>
      <c r="D50" s="12">
        <v>41</v>
      </c>
      <c r="E50" s="3">
        <f t="shared" si="0"/>
        <v>0</v>
      </c>
      <c r="F50" s="3">
        <f t="shared" si="1"/>
        <v>0</v>
      </c>
      <c r="G50" s="3">
        <f t="shared" si="2"/>
        <v>0</v>
      </c>
      <c r="H50" s="3">
        <f t="shared" si="3"/>
        <v>41</v>
      </c>
    </row>
    <row r="51" spans="1:8" ht="12.75">
      <c r="A51" s="12">
        <f t="shared" si="20"/>
        <v>0</v>
      </c>
      <c r="B51" s="11" t="str">
        <f t="shared" si="20"/>
        <v> </v>
      </c>
      <c r="C51" s="12">
        <f t="shared" si="20"/>
        <v>0</v>
      </c>
      <c r="D51" s="12">
        <v>42</v>
      </c>
      <c r="E51" s="3">
        <f t="shared" si="0"/>
        <v>0</v>
      </c>
      <c r="F51" s="3">
        <f t="shared" si="1"/>
        <v>0</v>
      </c>
      <c r="G51" s="3">
        <f t="shared" si="2"/>
        <v>0</v>
      </c>
      <c r="H51" s="3">
        <f t="shared" si="3"/>
        <v>42</v>
      </c>
    </row>
    <row r="52" spans="1:8" ht="12.75">
      <c r="A52" s="12">
        <f t="shared" si="20"/>
        <v>0</v>
      </c>
      <c r="B52" s="11" t="str">
        <f t="shared" si="20"/>
        <v> </v>
      </c>
      <c r="C52" s="12">
        <f t="shared" si="20"/>
        <v>0</v>
      </c>
      <c r="D52" s="12">
        <v>43</v>
      </c>
      <c r="E52" s="3">
        <f t="shared" si="0"/>
        <v>0</v>
      </c>
      <c r="F52" s="3">
        <f t="shared" si="1"/>
        <v>0</v>
      </c>
      <c r="G52" s="3">
        <f t="shared" si="2"/>
        <v>0</v>
      </c>
      <c r="H52" s="3">
        <f t="shared" si="3"/>
        <v>43</v>
      </c>
    </row>
    <row r="53" spans="1:8" ht="12.75">
      <c r="A53" s="12">
        <f t="shared" si="20"/>
        <v>0</v>
      </c>
      <c r="B53" s="11" t="str">
        <f t="shared" si="20"/>
        <v> </v>
      </c>
      <c r="C53" s="12">
        <f t="shared" si="20"/>
        <v>0</v>
      </c>
      <c r="D53" s="12">
        <v>44</v>
      </c>
      <c r="E53" s="3">
        <f t="shared" si="0"/>
        <v>0</v>
      </c>
      <c r="F53" s="3">
        <f t="shared" si="1"/>
        <v>0</v>
      </c>
      <c r="G53" s="3">
        <f t="shared" si="2"/>
        <v>0</v>
      </c>
      <c r="H53" s="3">
        <f t="shared" si="3"/>
        <v>44</v>
      </c>
    </row>
    <row r="54" spans="1:8" ht="12.75">
      <c r="A54" s="12">
        <f t="shared" si="20"/>
        <v>0</v>
      </c>
      <c r="B54" s="11" t="str">
        <f t="shared" si="20"/>
        <v> </v>
      </c>
      <c r="C54" s="12">
        <f t="shared" si="20"/>
        <v>0</v>
      </c>
      <c r="D54" s="12">
        <v>45</v>
      </c>
      <c r="E54" s="3">
        <f t="shared" si="0"/>
        <v>0</v>
      </c>
      <c r="F54" s="3">
        <f t="shared" si="1"/>
        <v>0</v>
      </c>
      <c r="G54" s="3">
        <f t="shared" si="2"/>
        <v>0</v>
      </c>
      <c r="H54" s="3">
        <f t="shared" si="3"/>
        <v>45</v>
      </c>
    </row>
    <row r="55" spans="1:8" ht="12.75">
      <c r="A55" s="12">
        <f t="shared" si="20"/>
        <v>0</v>
      </c>
      <c r="B55" s="11" t="str">
        <f t="shared" si="20"/>
        <v> </v>
      </c>
      <c r="C55" s="12">
        <f t="shared" si="20"/>
        <v>0</v>
      </c>
      <c r="D55" s="12">
        <v>46</v>
      </c>
      <c r="E55" s="3">
        <f t="shared" si="0"/>
        <v>0</v>
      </c>
      <c r="F55" s="3">
        <f t="shared" si="1"/>
        <v>0</v>
      </c>
      <c r="G55" s="3">
        <f t="shared" si="2"/>
        <v>0</v>
      </c>
      <c r="H55" s="3">
        <f t="shared" si="3"/>
        <v>46</v>
      </c>
    </row>
    <row r="56" spans="1:8" ht="12.75">
      <c r="A56" s="12">
        <f t="shared" si="20"/>
        <v>0</v>
      </c>
      <c r="B56" s="11" t="str">
        <f t="shared" si="20"/>
        <v> </v>
      </c>
      <c r="C56" s="12">
        <f t="shared" si="20"/>
        <v>0</v>
      </c>
      <c r="D56" s="12">
        <v>47</v>
      </c>
      <c r="E56" s="3">
        <f t="shared" si="0"/>
        <v>0</v>
      </c>
      <c r="F56" s="3">
        <f t="shared" si="1"/>
        <v>0</v>
      </c>
      <c r="G56" s="3">
        <f t="shared" si="2"/>
        <v>0</v>
      </c>
      <c r="H56" s="3">
        <f t="shared" si="3"/>
        <v>47</v>
      </c>
    </row>
    <row r="57" spans="1:8" ht="12.75">
      <c r="A57" s="12">
        <f t="shared" si="20"/>
        <v>0</v>
      </c>
      <c r="B57" s="11" t="str">
        <f t="shared" si="20"/>
        <v> </v>
      </c>
      <c r="C57" s="12">
        <f t="shared" si="20"/>
        <v>0</v>
      </c>
      <c r="D57" s="12">
        <v>48</v>
      </c>
      <c r="E57" s="3">
        <f t="shared" si="0"/>
        <v>0</v>
      </c>
      <c r="F57" s="3">
        <f t="shared" si="1"/>
        <v>0</v>
      </c>
      <c r="G57" s="3">
        <f t="shared" si="2"/>
        <v>0</v>
      </c>
      <c r="H57" s="3">
        <f t="shared" si="3"/>
        <v>48</v>
      </c>
    </row>
    <row r="58" spans="1:8" ht="12.75">
      <c r="A58" s="12">
        <f t="shared" si="20"/>
        <v>0</v>
      </c>
      <c r="B58" s="11" t="str">
        <f t="shared" si="20"/>
        <v> </v>
      </c>
      <c r="C58" s="12">
        <f t="shared" si="20"/>
        <v>0</v>
      </c>
      <c r="D58" s="12">
        <v>49</v>
      </c>
      <c r="E58" s="3">
        <f t="shared" si="0"/>
        <v>0</v>
      </c>
      <c r="F58" s="3">
        <f t="shared" si="1"/>
        <v>0</v>
      </c>
      <c r="G58" s="3">
        <f t="shared" si="2"/>
        <v>0</v>
      </c>
      <c r="H58" s="3">
        <f t="shared" si="3"/>
        <v>49</v>
      </c>
    </row>
    <row r="59" spans="1:8" ht="12.75">
      <c r="A59" s="12">
        <f t="shared" si="20"/>
        <v>0</v>
      </c>
      <c r="B59" s="11" t="str">
        <f t="shared" si="20"/>
        <v> </v>
      </c>
      <c r="C59" s="12">
        <f t="shared" si="20"/>
        <v>0</v>
      </c>
      <c r="D59" s="12">
        <v>50</v>
      </c>
      <c r="E59" s="3">
        <f t="shared" si="0"/>
        <v>0</v>
      </c>
      <c r="F59" s="3">
        <f t="shared" si="1"/>
        <v>0</v>
      </c>
      <c r="G59" s="3">
        <f t="shared" si="2"/>
        <v>0</v>
      </c>
      <c r="H59" s="3">
        <f t="shared" si="3"/>
        <v>50</v>
      </c>
    </row>
  </sheetData>
  <sheetProtection password="CA55" sheet="1" objects="1" scenarios="1"/>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BR55"/>
  <sheetViews>
    <sheetView workbookViewId="0" topLeftCell="A1">
      <selection activeCell="E5" sqref="E5"/>
    </sheetView>
  </sheetViews>
  <sheetFormatPr defaultColWidth="11.421875" defaultRowHeight="12.75"/>
  <cols>
    <col min="1" max="1" width="3.00390625" style="14" customWidth="1"/>
    <col min="2" max="2" width="8.140625" style="13" customWidth="1"/>
    <col min="3" max="3" width="6.00390625" style="19" customWidth="1"/>
    <col min="4" max="4" width="3.00390625" style="38" customWidth="1"/>
    <col min="5" max="5" width="5.57421875" style="238" customWidth="1"/>
    <col min="6" max="6" width="5.57421875" style="3" customWidth="1"/>
    <col min="7" max="7" width="8.57421875" style="39" customWidth="1"/>
    <col min="8" max="8" width="9.140625" style="2" customWidth="1"/>
    <col min="9" max="9" width="6.7109375" style="3" customWidth="1"/>
    <col min="10" max="10" width="4.57421875" style="21" customWidth="1"/>
    <col min="11" max="11" width="5.57421875" style="3" customWidth="1"/>
    <col min="12" max="12" width="8.57421875" style="39" customWidth="1"/>
    <col min="13" max="13" width="9.140625" style="39" customWidth="1"/>
    <col min="14" max="14" width="6.7109375" style="3" customWidth="1"/>
    <col min="15" max="15" width="5.8515625" style="3" customWidth="1"/>
    <col min="16" max="16" width="7.28125" style="3" customWidth="1"/>
    <col min="17" max="17" width="8.57421875" style="39" customWidth="1"/>
    <col min="18" max="18" width="9.140625" style="3" customWidth="1"/>
    <col min="19" max="19" width="7.140625" style="3" customWidth="1"/>
    <col min="20" max="20" width="6.57421875" style="41" customWidth="1"/>
    <col min="21" max="21" width="6.8515625" style="41" customWidth="1"/>
    <col min="22" max="22" width="9.140625" style="39" customWidth="1"/>
    <col min="23" max="23" width="11.7109375" style="41" customWidth="1"/>
    <col min="24" max="24" width="8.28125" style="41" customWidth="1"/>
    <col min="25" max="26" width="7.57421875" style="24" customWidth="1"/>
    <col min="27" max="27" width="9.140625" style="239" customWidth="1"/>
    <col min="28" max="28" width="12.57421875" style="24" customWidth="1"/>
    <col min="29" max="29" width="8.28125" style="24" customWidth="1"/>
    <col min="30" max="31" width="8.57421875" style="45" customWidth="1"/>
    <col min="32" max="32" width="9.140625" style="239" customWidth="1"/>
    <col min="33" max="33" width="12.57421875" style="45" customWidth="1"/>
    <col min="34" max="34" width="9.00390625" style="45" customWidth="1"/>
    <col min="35" max="35" width="8.57421875" style="31" customWidth="1"/>
    <col min="36" max="38" width="7.57421875" style="3" customWidth="1"/>
    <col min="39" max="39" width="6.57421875" style="24" customWidth="1"/>
    <col min="40" max="40" width="6.57421875" style="28" customWidth="1"/>
    <col min="41" max="44" width="7.57421875" style="3" customWidth="1"/>
    <col min="45" max="45" width="6.57421875" style="24" customWidth="1"/>
    <col min="46" max="46" width="6.57421875" style="28" customWidth="1"/>
    <col min="47" max="50" width="5.57421875" style="3" customWidth="1"/>
    <col min="51" max="51" width="6.57421875" style="24" customWidth="1"/>
    <col min="52" max="52" width="6.57421875" style="28" customWidth="1"/>
    <col min="53" max="56" width="5.57421875" style="3" customWidth="1"/>
    <col min="57" max="57" width="6.57421875" style="24" customWidth="1"/>
    <col min="58" max="58" width="6.57421875" style="28" customWidth="1"/>
    <col min="59" max="62" width="5.57421875" style="3" customWidth="1"/>
    <col min="63" max="63" width="6.57421875" style="24" customWidth="1"/>
    <col min="64" max="64" width="6.57421875" style="28" customWidth="1"/>
    <col min="65" max="68" width="8.57421875" style="45" customWidth="1"/>
    <col min="69" max="69" width="7.57421875" style="45" customWidth="1"/>
    <col min="70" max="70" width="7.57421875" style="240" customWidth="1"/>
    <col min="71" max="16384" width="11.57421875" style="4" customWidth="1"/>
  </cols>
  <sheetData>
    <row r="1" spans="1:4" ht="15.75">
      <c r="A1" s="1" t="s">
        <v>26</v>
      </c>
      <c r="B1" s="2"/>
      <c r="C1" s="18"/>
      <c r="D1" s="35" t="s">
        <v>64</v>
      </c>
    </row>
    <row r="2" spans="1:4" ht="15.75">
      <c r="A2" s="1"/>
      <c r="B2" s="2"/>
      <c r="C2" s="15" t="s">
        <v>27</v>
      </c>
      <c r="D2" s="35"/>
    </row>
    <row r="3" spans="1:4" ht="12.75">
      <c r="A3" s="5" t="s">
        <v>37</v>
      </c>
      <c r="B3" s="6" t="s">
        <v>39</v>
      </c>
      <c r="C3" s="15" t="s">
        <v>28</v>
      </c>
      <c r="D3" s="36"/>
    </row>
    <row r="4" spans="1:4" ht="12.75">
      <c r="A4" s="5" t="s">
        <v>38</v>
      </c>
      <c r="B4" s="6" t="s">
        <v>1</v>
      </c>
      <c r="C4" s="15" t="s">
        <v>1</v>
      </c>
      <c r="D4" s="36"/>
    </row>
    <row r="5" spans="1:34" ht="12.75">
      <c r="A5" s="5"/>
      <c r="B5" s="6">
        <f>IF('Leasing, Bar- und Kreditkauf'!D38&gt;0,'Leasing, Bar- und Kreditkauf'!D38,0)</f>
        <v>0</v>
      </c>
      <c r="C5" s="15"/>
      <c r="D5" s="36"/>
      <c r="X5" s="42"/>
      <c r="AC5" s="8"/>
      <c r="AH5" s="44">
        <f>IF(AH9&lt;&gt;" ",MAX(AH9:AH29),IF(AD8&gt;0,AD8,IF(Y8&gt;0,Y8,IF(T8&gt;0,T8,IF(O8&gt;0,O8,IF(J8&gt;0,J8," "))))))</f>
        <v>0</v>
      </c>
    </row>
    <row r="6" spans="1:70" ht="12.75">
      <c r="A6" s="15">
        <f>'Leasing, Bar- und Kreditkauf'!$D$33</f>
        <v>72</v>
      </c>
      <c r="B6" s="6">
        <f>'Leasing, Bar- und Kreditkauf'!$D$36</f>
        <v>460</v>
      </c>
      <c r="C6" s="15">
        <f>'Leasing, Bar- und Kreditkauf'!$G$27</f>
        <v>0</v>
      </c>
      <c r="D6" s="36"/>
      <c r="E6" s="241"/>
      <c r="P6" s="23"/>
      <c r="S6" s="23"/>
      <c r="U6" s="42"/>
      <c r="Z6" s="8"/>
      <c r="AE6" s="44"/>
      <c r="AH6" s="45">
        <f>IF(AH5&gt;50," ",AH5)</f>
        <v>0</v>
      </c>
      <c r="AI6" s="32" t="s">
        <v>54</v>
      </c>
      <c r="AJ6" s="26"/>
      <c r="AK6" s="26"/>
      <c r="AL6" s="26"/>
      <c r="AM6" s="27"/>
      <c r="AN6" s="29"/>
      <c r="AO6" s="26" t="s">
        <v>55</v>
      </c>
      <c r="AP6" s="26"/>
      <c r="AQ6" s="26"/>
      <c r="AR6" s="26"/>
      <c r="AS6" s="27"/>
      <c r="AT6" s="29"/>
      <c r="AU6" s="26" t="s">
        <v>56</v>
      </c>
      <c r="AV6" s="26"/>
      <c r="AW6" s="26"/>
      <c r="AX6" s="26"/>
      <c r="AY6" s="27"/>
      <c r="AZ6" s="29"/>
      <c r="BA6" s="26" t="s">
        <v>58</v>
      </c>
      <c r="BB6" s="26"/>
      <c r="BC6" s="26"/>
      <c r="BD6" s="26"/>
      <c r="BE6" s="27"/>
      <c r="BF6" s="29"/>
      <c r="BG6" s="26" t="s">
        <v>61</v>
      </c>
      <c r="BH6" s="26"/>
      <c r="BI6" s="26"/>
      <c r="BJ6" s="26"/>
      <c r="BK6" s="27"/>
      <c r="BL6" s="29"/>
      <c r="BM6" s="47" t="s">
        <v>63</v>
      </c>
      <c r="BN6" s="47"/>
      <c r="BO6" s="47"/>
      <c r="BP6" s="47"/>
      <c r="BQ6" s="47"/>
      <c r="BR6" s="242"/>
    </row>
    <row r="7" spans="1:70" ht="12.75">
      <c r="A7" s="15"/>
      <c r="B7" s="6">
        <f>IF('Leasing, Bar- und Kreditkauf'!D39&gt;0,'Leasing, Bar- und Kreditkauf'!D39,0)</f>
        <v>2563.75</v>
      </c>
      <c r="C7" s="15"/>
      <c r="D7" s="36"/>
      <c r="E7" s="243"/>
      <c r="H7" s="2">
        <f>IF(H9&lt;&gt;" ",IF(MIN(H9:H29)&gt;0,MIN(H9:H29),"Null")," ")</f>
        <v>19123.75</v>
      </c>
      <c r="M7" s="2">
        <f>IF(M9&lt;&gt;" ",IF(MIN(M9:M29)&gt;0,MIN(M9:M29),"Null"),"Null")</f>
        <v>19123.75</v>
      </c>
      <c r="R7" s="2">
        <f>IF(R9&lt;&gt;" ",IF(MIN(R9:R29)&gt;0,MIN(R9:R29),"Null"),"Null")</f>
        <v>19123.75</v>
      </c>
      <c r="W7" s="2">
        <f>IF(W9&lt;&gt;" ",IF(MIN(W9:W29)&gt;0,MIN(W9:W29),"Null"),"Null")</f>
        <v>19123.75</v>
      </c>
      <c r="AB7" s="2">
        <f>IF(AB9&lt;&gt;" ",IF(MIN(AB9:AB29)&gt;0,MIN(AB9:AB29),"Null"),"Null")</f>
        <v>19123.75</v>
      </c>
      <c r="AG7" s="45">
        <f>IF(AG9&lt;&gt;" ",IF(MIN(AG9:AG29)&gt;0,MIN(AG9:AG29),"Null"),"Null")</f>
        <v>19123.75</v>
      </c>
      <c r="AI7" s="33" t="s">
        <v>51</v>
      </c>
      <c r="AJ7" s="17" t="s">
        <v>43</v>
      </c>
      <c r="AK7" s="17" t="s">
        <v>44</v>
      </c>
      <c r="AL7" s="17" t="s">
        <v>45</v>
      </c>
      <c r="AM7" s="25" t="s">
        <v>46</v>
      </c>
      <c r="AN7" s="30" t="s">
        <v>49</v>
      </c>
      <c r="AO7" s="17" t="s">
        <v>51</v>
      </c>
      <c r="AP7" s="17" t="s">
        <v>43</v>
      </c>
      <c r="AQ7" s="17" t="s">
        <v>44</v>
      </c>
      <c r="AR7" s="17" t="s">
        <v>45</v>
      </c>
      <c r="AS7" s="25" t="s">
        <v>46</v>
      </c>
      <c r="AT7" s="30" t="s">
        <v>49</v>
      </c>
      <c r="AU7" s="17" t="s">
        <v>51</v>
      </c>
      <c r="AV7" s="17" t="s">
        <v>43</v>
      </c>
      <c r="AW7" s="17" t="s">
        <v>44</v>
      </c>
      <c r="AX7" s="17" t="s">
        <v>45</v>
      </c>
      <c r="AY7" s="25" t="s">
        <v>46</v>
      </c>
      <c r="AZ7" s="30" t="s">
        <v>49</v>
      </c>
      <c r="BA7" s="17" t="s">
        <v>51</v>
      </c>
      <c r="BB7" s="17" t="s">
        <v>43</v>
      </c>
      <c r="BC7" s="17" t="s">
        <v>44</v>
      </c>
      <c r="BD7" s="17" t="s">
        <v>45</v>
      </c>
      <c r="BE7" s="25" t="s">
        <v>46</v>
      </c>
      <c r="BF7" s="30" t="s">
        <v>49</v>
      </c>
      <c r="BG7" s="17" t="s">
        <v>51</v>
      </c>
      <c r="BH7" s="17" t="s">
        <v>43</v>
      </c>
      <c r="BI7" s="17" t="s">
        <v>44</v>
      </c>
      <c r="BJ7" s="17" t="s">
        <v>45</v>
      </c>
      <c r="BK7" s="25" t="s">
        <v>46</v>
      </c>
      <c r="BL7" s="30" t="s">
        <v>49</v>
      </c>
      <c r="BM7" s="46" t="s">
        <v>51</v>
      </c>
      <c r="BN7" s="46" t="s">
        <v>43</v>
      </c>
      <c r="BO7" s="46" t="s">
        <v>44</v>
      </c>
      <c r="BP7" s="46" t="s">
        <v>45</v>
      </c>
      <c r="BQ7" s="46" t="s">
        <v>46</v>
      </c>
      <c r="BR7" s="244" t="s">
        <v>49</v>
      </c>
    </row>
    <row r="8" spans="1:70" s="9" customFormat="1" ht="12.75">
      <c r="A8" s="7" t="s">
        <v>29</v>
      </c>
      <c r="B8" s="7" t="s">
        <v>30</v>
      </c>
      <c r="C8" s="15" t="s">
        <v>31</v>
      </c>
      <c r="D8" s="36" t="s">
        <v>32</v>
      </c>
      <c r="E8" s="245" t="s">
        <v>51</v>
      </c>
      <c r="F8" s="7" t="s">
        <v>51</v>
      </c>
      <c r="G8" s="40" t="s">
        <v>28</v>
      </c>
      <c r="H8" s="6" t="s">
        <v>60</v>
      </c>
      <c r="I8" s="16">
        <f>H7</f>
        <v>19123.75</v>
      </c>
      <c r="J8" s="22">
        <f>MAX(I9:I29)</f>
        <v>1E-07</v>
      </c>
      <c r="K8" s="7" t="s">
        <v>52</v>
      </c>
      <c r="L8" s="40" t="s">
        <v>28</v>
      </c>
      <c r="M8" s="40" t="s">
        <v>36</v>
      </c>
      <c r="N8" s="16">
        <f>M7</f>
        <v>19123.75</v>
      </c>
      <c r="O8" s="8">
        <f>MAX(N9:N29)</f>
        <v>0</v>
      </c>
      <c r="P8" s="7" t="s">
        <v>53</v>
      </c>
      <c r="Q8" s="40" t="s">
        <v>28</v>
      </c>
      <c r="R8" s="17" t="s">
        <v>57</v>
      </c>
      <c r="S8" s="16">
        <f>R7</f>
        <v>19123.75</v>
      </c>
      <c r="T8" s="42">
        <f>MAX(S9:S29)</f>
        <v>0</v>
      </c>
      <c r="U8" s="43" t="s">
        <v>53</v>
      </c>
      <c r="V8" s="40" t="s">
        <v>28</v>
      </c>
      <c r="W8" s="43" t="s">
        <v>59</v>
      </c>
      <c r="X8" s="16">
        <f>W7</f>
        <v>19123.75</v>
      </c>
      <c r="Y8" s="8">
        <f>IF(X9&lt;&gt;" ",MAX(X9:X29)," ")</f>
        <v>0</v>
      </c>
      <c r="Z8" s="25" t="s">
        <v>53</v>
      </c>
      <c r="AA8" s="246" t="s">
        <v>28</v>
      </c>
      <c r="AB8" s="25" t="s">
        <v>62</v>
      </c>
      <c r="AC8" s="16">
        <f>AB7</f>
        <v>19123.75</v>
      </c>
      <c r="AD8" s="44">
        <f>IF(AC9&lt;&gt;" ",MAX(AC9:AC29)," ")</f>
        <v>0</v>
      </c>
      <c r="AE8" s="46" t="s">
        <v>53</v>
      </c>
      <c r="AF8" s="246" t="s">
        <v>28</v>
      </c>
      <c r="AG8" s="46" t="s">
        <v>65</v>
      </c>
      <c r="AH8" s="44">
        <f>AG7</f>
        <v>19123.75</v>
      </c>
      <c r="AI8" s="34" t="s">
        <v>51</v>
      </c>
      <c r="AJ8" s="7" t="s">
        <v>41</v>
      </c>
      <c r="AK8" s="7" t="s">
        <v>42</v>
      </c>
      <c r="AL8" s="7" t="s">
        <v>47</v>
      </c>
      <c r="AM8" s="25" t="s">
        <v>48</v>
      </c>
      <c r="AN8" s="30" t="s">
        <v>50</v>
      </c>
      <c r="AO8" s="7" t="s">
        <v>51</v>
      </c>
      <c r="AP8" s="7" t="s">
        <v>41</v>
      </c>
      <c r="AQ8" s="7" t="s">
        <v>42</v>
      </c>
      <c r="AR8" s="7" t="s">
        <v>47</v>
      </c>
      <c r="AS8" s="25" t="s">
        <v>48</v>
      </c>
      <c r="AT8" s="30" t="s">
        <v>50</v>
      </c>
      <c r="AU8" s="7" t="s">
        <v>51</v>
      </c>
      <c r="AV8" s="7" t="s">
        <v>41</v>
      </c>
      <c r="AW8" s="7" t="s">
        <v>42</v>
      </c>
      <c r="AX8" s="7" t="s">
        <v>47</v>
      </c>
      <c r="AY8" s="25" t="s">
        <v>48</v>
      </c>
      <c r="AZ8" s="30" t="s">
        <v>50</v>
      </c>
      <c r="BA8" s="7" t="s">
        <v>51</v>
      </c>
      <c r="BB8" s="7" t="s">
        <v>41</v>
      </c>
      <c r="BC8" s="7" t="s">
        <v>42</v>
      </c>
      <c r="BD8" s="7" t="s">
        <v>47</v>
      </c>
      <c r="BE8" s="25" t="s">
        <v>48</v>
      </c>
      <c r="BF8" s="30" t="s">
        <v>50</v>
      </c>
      <c r="BG8" s="7" t="s">
        <v>51</v>
      </c>
      <c r="BH8" s="7" t="s">
        <v>41</v>
      </c>
      <c r="BI8" s="7" t="s">
        <v>42</v>
      </c>
      <c r="BJ8" s="7" t="s">
        <v>47</v>
      </c>
      <c r="BK8" s="25" t="s">
        <v>48</v>
      </c>
      <c r="BL8" s="30" t="s">
        <v>50</v>
      </c>
      <c r="BM8" s="46" t="s">
        <v>51</v>
      </c>
      <c r="BN8" s="46" t="s">
        <v>41</v>
      </c>
      <c r="BO8" s="46" t="s">
        <v>42</v>
      </c>
      <c r="BP8" s="46" t="s">
        <v>47</v>
      </c>
      <c r="BQ8" s="46" t="s">
        <v>48</v>
      </c>
      <c r="BR8" s="244" t="s">
        <v>50</v>
      </c>
    </row>
    <row r="9" spans="1:70" ht="12.75">
      <c r="A9" s="10">
        <f>A6</f>
        <v>72</v>
      </c>
      <c r="B9" s="11">
        <f>B6</f>
        <v>460</v>
      </c>
      <c r="C9" s="12">
        <f>C6</f>
        <v>0</v>
      </c>
      <c r="D9" s="37">
        <v>1E-07</v>
      </c>
      <c r="E9" s="238">
        <v>36</v>
      </c>
      <c r="F9" s="3">
        <f>IF($B$5&gt;0,IF($B$7&gt;0,AJ9,AJ9),IF($B$7&gt;0,AI9,AI9))</f>
        <v>36</v>
      </c>
      <c r="G9" s="39">
        <f aca="true" t="shared" si="0" ref="G9:G29">$B$5*AM9+$B$6*F9+$B$7*AN9</f>
        <v>19123.75</v>
      </c>
      <c r="H9" s="2">
        <f>IF(G9&lt;&gt;" ",ABS(G9-$C9)," ")</f>
        <v>19123.75</v>
      </c>
      <c r="I9" s="3">
        <f>IF(H9&lt;&gt;" ",IF(H9=MIN(H$9:H$29),D9,0)," ")</f>
        <v>1E-07</v>
      </c>
      <c r="J9" s="21">
        <f>IF($J$8&lt;&gt;" ",J$8-1," ")</f>
        <v>-0.9999999</v>
      </c>
      <c r="K9" s="3">
        <f>IF(J9&lt;&gt;" ",IF($B$5&gt;0,IF($B$7&gt;0,AP9,AP9),IF($B$7&gt;0,AO9,AO9))," ")</f>
        <v>36</v>
      </c>
      <c r="L9" s="39">
        <f>IF(K9&lt;&gt;" ",$B$5*AS9+$B$6*K9+$B$7*AT9," ")</f>
        <v>19123.75</v>
      </c>
      <c r="M9" s="39">
        <f>IF(L9&lt;&gt;" ",ABS(L9-$C9)," ")</f>
        <v>19123.75</v>
      </c>
      <c r="N9" s="3">
        <f aca="true" t="shared" si="1" ref="N9:N29">IF(M$9&lt;&gt;" ",IF(M9=MIN(M$9:M$29),J9,0)," ")</f>
        <v>-0.9999999</v>
      </c>
      <c r="O9" s="3">
        <f>IF(O$8&lt;&gt;" ",O$8-0.1," ")</f>
        <v>-0.1</v>
      </c>
      <c r="P9" s="3">
        <f>IF(O9&lt;&gt;" ",IF($B$5&gt;0,IF($B$7&gt;0,AV9,AV9),IF($B$7&gt;0,AU9,AU9))," ")</f>
        <v>36</v>
      </c>
      <c r="Q9" s="39">
        <f>IF(P9&lt;&gt;" ",$B$5*AY9+$B$6*P9+$B$7*AZ9," ")</f>
        <v>19123.75</v>
      </c>
      <c r="R9" s="39">
        <f>IF(Q9&lt;&gt;" ",ABS(Q9-$C9)," ")</f>
        <v>19123.75</v>
      </c>
      <c r="S9" s="3">
        <f>IF(R$9&lt;&gt;" ",IF(R9=MIN(R$9:R$29),O9,0)," ")</f>
        <v>-0.1</v>
      </c>
      <c r="T9" s="41">
        <f>IF(T$8&lt;&gt;" ",T$8-0.01," ")</f>
        <v>-0.01</v>
      </c>
      <c r="U9" s="3">
        <f>IF(T9&lt;&gt;" ",IF($B$5&gt;0,IF($B$7&gt;0,BB9,BB9),IF($B$7&gt;0,BA9,BA9))," ")</f>
        <v>36</v>
      </c>
      <c r="V9" s="39">
        <f>IF(U9&lt;&gt;" ",$B$5*BE9+$B$6*U9+$B$7*BF9," ")</f>
        <v>19123.75</v>
      </c>
      <c r="W9" s="41">
        <f>IF(V9&lt;&gt;" ",ABS(V9-$C9)," ")</f>
        <v>19123.75</v>
      </c>
      <c r="X9" s="41">
        <f>IF(W$9&lt;&gt;" ",IF(W9=MIN(W$9:W$29),T9,0)," ")</f>
        <v>-0.01</v>
      </c>
      <c r="Y9" s="24">
        <f>IF(Y$8&lt;&gt;" ",Y$8-0.001," ")</f>
        <v>-0.001</v>
      </c>
      <c r="Z9" s="3">
        <f>IF(Y9&lt;&gt;" ",IF($B$5&gt;0,IF($B$7&gt;0,BH9,BH9),IF($B$7&gt;0,BG9,BG9))," ")</f>
        <v>36</v>
      </c>
      <c r="AA9" s="39">
        <f>IF(Z9&lt;&gt;" ",$B$5*BK9+$B$6*Z9+$B$7*BL9," ")</f>
        <v>19123.75</v>
      </c>
      <c r="AB9" s="21">
        <f>IF(AA9&lt;&gt;" ",ABS(AA9-$C9)," ")</f>
        <v>19123.75</v>
      </c>
      <c r="AC9" s="24">
        <f>IF(AB$9&lt;&gt;" ",IF(AB9=MIN(AB$9:AB$29),Y9,0)," ")</f>
        <v>-0.001</v>
      </c>
      <c r="AD9" s="45">
        <f>IF(AD$8&lt;&gt;" ",AD$8-0.0001," ")</f>
        <v>-0.0001</v>
      </c>
      <c r="AE9" s="45">
        <f>IF(AD9&lt;&gt;" ",IF($B$5&gt;0,IF($B$7&gt;0,BN9,BN9),IF($B$7&gt;0,BM9,BM9))," ")</f>
        <v>36</v>
      </c>
      <c r="AF9" s="39">
        <f>IF(AE9&lt;&gt;" ",$B$5*BQ9+$B$6*AE9+$B$7*BR9," ")</f>
        <v>19123.75</v>
      </c>
      <c r="AG9" s="45">
        <f>IF(AF9&lt;&gt;" ",ABS(AF9-$C9)," ")</f>
        <v>19123.75</v>
      </c>
      <c r="AH9" s="45">
        <f>IF(AG$9&lt;&gt;" ",IF(AG9=MIN(AG$9:AG$29),AD9,0)," ")</f>
        <v>-0.0001</v>
      </c>
      <c r="AI9" s="31">
        <v>36</v>
      </c>
      <c r="AJ9" s="3">
        <v>36</v>
      </c>
      <c r="AK9" s="3">
        <v>36</v>
      </c>
      <c r="AL9" s="3">
        <v>36</v>
      </c>
      <c r="AM9" s="24">
        <v>1</v>
      </c>
      <c r="AN9" s="28">
        <v>1</v>
      </c>
      <c r="AO9" s="3">
        <v>36</v>
      </c>
      <c r="AP9" s="3">
        <v>36</v>
      </c>
      <c r="AQ9" s="3">
        <v>36</v>
      </c>
      <c r="AR9" s="3">
        <v>36</v>
      </c>
      <c r="AS9" s="24">
        <v>1</v>
      </c>
      <c r="AT9" s="28">
        <v>1</v>
      </c>
      <c r="AU9" s="3">
        <v>36</v>
      </c>
      <c r="AV9" s="3">
        <v>36</v>
      </c>
      <c r="AW9" s="3">
        <v>36</v>
      </c>
      <c r="AX9" s="3">
        <v>36</v>
      </c>
      <c r="AY9" s="24">
        <v>1</v>
      </c>
      <c r="AZ9" s="28">
        <v>1</v>
      </c>
      <c r="BA9" s="3">
        <v>36</v>
      </c>
      <c r="BB9" s="3">
        <v>36</v>
      </c>
      <c r="BC9" s="3">
        <v>36</v>
      </c>
      <c r="BD9" s="3">
        <v>36</v>
      </c>
      <c r="BE9" s="24">
        <v>1</v>
      </c>
      <c r="BF9" s="28">
        <v>1</v>
      </c>
      <c r="BG9" s="3">
        <v>36</v>
      </c>
      <c r="BH9" s="3">
        <v>36</v>
      </c>
      <c r="BI9" s="3">
        <v>36</v>
      </c>
      <c r="BJ9" s="3">
        <v>36</v>
      </c>
      <c r="BK9" s="24">
        <v>1</v>
      </c>
      <c r="BL9" s="28">
        <v>1</v>
      </c>
      <c r="BM9" s="45">
        <v>36</v>
      </c>
      <c r="BN9" s="45">
        <v>36</v>
      </c>
      <c r="BO9" s="45">
        <v>36</v>
      </c>
      <c r="BP9" s="45">
        <v>36</v>
      </c>
      <c r="BQ9" s="45">
        <v>1</v>
      </c>
      <c r="BR9" s="240">
        <v>1</v>
      </c>
    </row>
    <row r="10" spans="1:70" ht="12.75">
      <c r="A10" s="12">
        <f>A9</f>
        <v>72</v>
      </c>
      <c r="B10" s="10">
        <f>B9</f>
        <v>460</v>
      </c>
      <c r="C10" s="12">
        <f>C9</f>
        <v>0</v>
      </c>
      <c r="D10" s="37">
        <v>1</v>
      </c>
      <c r="E10" s="238">
        <f>(1/((1+D10/100)^($A10/12)))*((1+D10/100)^($A10/12)-1)/((1+D10/100)^(1/12)-1)</f>
        <v>69.86389623757438</v>
      </c>
      <c r="F10" s="3">
        <f>IF($B$5&gt;0,IF($B$7&gt;0,AJ10,AJ10),IF($B$7&gt;0,AI10,AI10))</f>
        <v>69.86389623757438</v>
      </c>
      <c r="G10" s="39">
        <f t="shared" si="0"/>
        <v>34552.56074116719</v>
      </c>
      <c r="H10" s="2">
        <f aca="true" t="shared" si="2" ref="H10:H29">IF(G10&lt;&gt;" ",ABS(G10-$C10)," ")</f>
        <v>34552.56074116719</v>
      </c>
      <c r="I10" s="3">
        <f aca="true" t="shared" si="3" ref="I10:I29">IF(H10&lt;&gt;" ",IF(H10=MIN(H$9:H$29),D10,0)," ")</f>
        <v>0</v>
      </c>
      <c r="J10" s="21">
        <f>IF(J$8&lt;&gt;" ",J$8-0.9," ")</f>
        <v>-0.8999999000000001</v>
      </c>
      <c r="K10" s="3">
        <f>IF(J10&lt;&gt;" ",IF($B$5&gt;0,IF($B$7&gt;0,AP10,AP10),IF($B$7&gt;0,AO10,AO10))," ")</f>
        <v>74.01646907493016</v>
      </c>
      <c r="L10" s="39">
        <f aca="true" t="shared" si="4" ref="L10:L29">IF(K10&lt;&gt;" ",$B$5*AS10+$B$6*K10+$B$7*AT10," ")</f>
        <v>36754.23601756547</v>
      </c>
      <c r="M10" s="39">
        <f aca="true" t="shared" si="5" ref="M10:M29">IF(L10&lt;&gt;" ",IF(K10&lt;&gt;" ",ABS(L10-$C10)," ")," ")</f>
        <v>36754.23601756547</v>
      </c>
      <c r="N10" s="3">
        <f t="shared" si="1"/>
        <v>0</v>
      </c>
      <c r="O10" s="3">
        <f>IF(O$8&lt;&gt;" ",O$8-0.09," ")</f>
        <v>-0.09</v>
      </c>
      <c r="P10" s="3">
        <f aca="true" t="shared" si="6" ref="P10:P29">IF(O10&lt;&gt;" ",IF($B$5&gt;0,IF($B$7&gt;0,AV10,AV10),IF($B$7&gt;0,AU10,AU10))," ")</f>
        <v>72.19754680062162</v>
      </c>
      <c r="Q10" s="39">
        <f aca="true" t="shared" si="7" ref="Q10:Q29">IF(P10&lt;&gt;" ",$B$5*AY10+$B$6*P10+$B$7*AZ10," ")</f>
        <v>35788.5094925483</v>
      </c>
      <c r="R10" s="39">
        <f aca="true" t="shared" si="8" ref="R10:R29">IF(Q10&lt;&gt;" ",ABS(Q10-$C10)," ")</f>
        <v>35788.5094925483</v>
      </c>
      <c r="S10" s="3">
        <f aca="true" t="shared" si="9" ref="S10:S29">IF(R$9&lt;&gt;" ",IF(R10=MIN(R$9:R$29),O10,0)," ")</f>
        <v>0</v>
      </c>
      <c r="T10" s="41">
        <f>IF(T$8&lt;&gt;" ",T$8-0.009," ")</f>
        <v>-0.009</v>
      </c>
      <c r="U10" s="3">
        <f aca="true" t="shared" si="10" ref="U10:U29">IF(T10&lt;&gt;" ",IF($B$5&gt;0,IF($B$7&gt;0,BB10,BB10),IF($B$7&gt;0,BA10,BA10))," ")</f>
        <v>72.01971446035225</v>
      </c>
      <c r="V10" s="39">
        <f aca="true" t="shared" si="11" ref="V10:V29">IF(U10&lt;&gt;" ",$B$5*BE10+$B$6*U10+$B$7*BF10," ")</f>
        <v>35694.203512960594</v>
      </c>
      <c r="W10" s="41">
        <f aca="true" t="shared" si="12" ref="W10:W29">IF(V10&lt;&gt;" ",ABS(V10-$C10)," ")</f>
        <v>35694.203512960594</v>
      </c>
      <c r="X10" s="41">
        <f aca="true" t="shared" si="13" ref="X10:X29">IF(W$9&lt;&gt;" ",IF(W10=MIN(W$9:W$29),T10,0)," ")</f>
        <v>0</v>
      </c>
      <c r="Y10" s="24">
        <f>IF(Y$8&lt;&gt;" ",Y$8-0.0009," ")</f>
        <v>-0.0009</v>
      </c>
      <c r="Z10" s="3">
        <f aca="true" t="shared" si="14" ref="Z10:Z29">IF(Y10&lt;&gt;" ",IF($B$5&gt;0,IF($B$7&gt;0,BH10,BH10),IF($B$7&gt;0,BG10,BG10))," ")</f>
        <v>72.0019710475467</v>
      </c>
      <c r="AA10" s="39">
        <f aca="true" t="shared" si="15" ref="AA10:AA29">IF(Z10&lt;&gt;" ",$B$5*BK10+$B$6*Z10+$B$7*BL10," ")</f>
        <v>35684.79512873253</v>
      </c>
      <c r="AB10" s="24">
        <f aca="true" t="shared" si="16" ref="AB10:AB29">IF(AA10&lt;&gt;" ",ABS(AA10-$C10)," ")</f>
        <v>35684.79512873253</v>
      </c>
      <c r="AC10" s="24">
        <f aca="true" t="shared" si="17" ref="AC10:AC29">IF(AB$9&lt;&gt;" ",IF(AB10=MIN(AB$9:AB$29),Y10,0)," ")</f>
        <v>0</v>
      </c>
      <c r="AD10" s="45">
        <f>IF(AD$8&lt;&gt;" ",AD$8-0.00009," ")</f>
        <v>-9E-05</v>
      </c>
      <c r="AE10" s="45">
        <f aca="true" t="shared" si="18" ref="AE10:AE29">IF(AD10&lt;&gt;" ",IF($B$5&gt;0,IF($B$7&gt;0,BN10,BN10),IF($B$7&gt;0,BM10,BM10))," ")</f>
        <v>72.00019707215365</v>
      </c>
      <c r="AF10" s="39">
        <f aca="true" t="shared" si="19" ref="AF10:AF29">IF(AE10&lt;&gt;" ",$B$5*BQ10+$B$6*AE10+$B$7*BR10," ")</f>
        <v>35683.85449748429</v>
      </c>
      <c r="AG10" s="45">
        <f aca="true" t="shared" si="20" ref="AG10:AG29">IF(AF10&lt;&gt;" ",ABS(AF10-$C10)," ")</f>
        <v>35683.85449748429</v>
      </c>
      <c r="AH10" s="45">
        <f aca="true" t="shared" si="21" ref="AH10:AH29">IF(AG$9&lt;&gt;" ",IF(AG10=MIN(AG$9:AG$29),AD10,0)," ")</f>
        <v>0</v>
      </c>
      <c r="AI10" s="31">
        <f>(1/((1+D10/100)^($A10/12)))*((1+D10/100)^($A10/12)-1)/((1+D10/100)^(1/12)-1)</f>
        <v>69.86389623757438</v>
      </c>
      <c r="AJ10" s="3">
        <f>(1/((1+D10/100)^($A10/12)))*((1+D10/100)^(($A10-1)/12)-1)/((1+D10/100)^(1/12)-1)</f>
        <v>68.86472508812538</v>
      </c>
      <c r="AK10" s="3">
        <f>(1/((1+D10/100)^(($A10-1)/12)))*((1+D10/100)^(($A10-1)/12)-1)/((1+D10/100)^(1/12)-1)</f>
        <v>68.92185100231997</v>
      </c>
      <c r="AL10" s="3">
        <f>(1/((1+D10/100)^(($A10-1)/12)))*((1+D10/100)^(($A10-2)/12)-1)/((1+D10/100)^(1/12)-1)</f>
        <v>67.92267985287114</v>
      </c>
      <c r="AM10" s="24">
        <f>1/(((100+D10)/100)^(1/12))</f>
        <v>0.9991711494487772</v>
      </c>
      <c r="AN10" s="28">
        <f>1/(((100+D10)/100)^($A10/12))</f>
        <v>0.9420452352542066</v>
      </c>
      <c r="AO10" s="3">
        <f>(1/((1+J10/100)^($A10/12)))*((1+J10/100)^($A10/12)-1)/((1+J10/100)^(1/12)-1)</f>
        <v>74.01646907493016</v>
      </c>
      <c r="AP10" s="3">
        <f>(1/((1+J10/100)^($A10/12)))*((1+J10/100)^(($A10-1)/12)-1)/((1+J10/100)^(1/12)-1)</f>
        <v>73.01571539575298</v>
      </c>
      <c r="AQ10" s="3">
        <f>(1/((1+J10/100)^(($A10-1)/12)))*((1+J10/100)^(($A10-1)/12)-1)/((1+J10/100)^(1/12)-1)</f>
        <v>72.96072641550633</v>
      </c>
      <c r="AR10" s="3">
        <f>(1/((1+J10/100)^(($A10-1)/12)))*((1+J10/100)^(($A10-2)/12)-1)/((1+J10/100)^(1/12)-1)</f>
        <v>71.95997273632925</v>
      </c>
      <c r="AS10" s="24">
        <f>1/(((100+J10)/100)^(1/12))</f>
        <v>1.0007536791771159</v>
      </c>
      <c r="AT10" s="28">
        <f>1/(((100+J10)/100)^($A10/12))</f>
        <v>1.0557426594237338</v>
      </c>
      <c r="AU10" s="3">
        <f>(1/((1+O10/100)^($A10/12)))*((1+O10/100)^($A10/12)-1)/((1+O10/100)^(1/12)-1)</f>
        <v>72.19754680062162</v>
      </c>
      <c r="AV10" s="3">
        <f>(1/((1+O10/100)^($A10/12)))*((1+O10/100)^(($A10-1)/12)-1)/((1+O10/100)^(1/12)-1)</f>
        <v>71.19747176403285</v>
      </c>
      <c r="AW10" s="3">
        <f>(1/((1+O10/100)^(($A10-1)/12)))*((1+O10/100)^(($A10-1)/12)-1)/((1+O10/100)^(1/12)-1)</f>
        <v>71.19212974971138</v>
      </c>
      <c r="AX10" s="3">
        <f>(1/((1+O10/100)^(($A10-1)/12)))*((1+O10/100)^(($A10-2)/12)-1)/((1+O10/100)^(1/12)-1)</f>
        <v>70.19205471312618</v>
      </c>
      <c r="AY10" s="24">
        <f>1/(((100+O10)/100)^(1/12))</f>
        <v>1.0000750365853674</v>
      </c>
      <c r="AZ10" s="28">
        <f>1/(((100+O10)/100)^($A10/12))</f>
        <v>1.0054170509068179</v>
      </c>
      <c r="BA10" s="3">
        <f>(1/((1+T10/100)^($A10/12)))*((1+T10/100)^($A10/12)-1)/((1+T10/100)^(1/12)-1)</f>
        <v>72.01971446035225</v>
      </c>
      <c r="BB10" s="3">
        <f>(1/((1+T10/100)^($A10/12)))*((1+T10/100)^(($A10-1)/12)-1)/((1+T10/100)^(1/12)-1)</f>
        <v>71.01970695997674</v>
      </c>
      <c r="BC10" s="3">
        <f>(1/((1+T10/100)^(($A10-1)/12)))*((1+T10/100)^(($A10-1)/12)-1)/((1+T10/100)^(1/12)-1)</f>
        <v>71.01917429020155</v>
      </c>
      <c r="BD10" s="3">
        <f>(1/((1+T10/100)^(($A10-1)/12)))*((1+T10/100)^(($A10-2)/12)-1)/((1+T10/100)^(1/12)-1)</f>
        <v>70.01916678983794</v>
      </c>
      <c r="BE10" s="24">
        <f>1/(((100+T10)/100)^(1/12))</f>
        <v>1.000007500365648</v>
      </c>
      <c r="BF10" s="28">
        <f>1/(((100+T10)/100)^($A10/12))</f>
        <v>1.0005401701408325</v>
      </c>
      <c r="BG10" s="3">
        <f>(1/((1+Y10/100)^($A10/12)))*((1+Y10/100)^($A10/12)-1)/((1+Y10/100)^(1/12)-1)</f>
        <v>72.0019710475467</v>
      </c>
      <c r="BH10" s="3">
        <f>(1/((1+Y10/100)^($A10/12)))*((1+Y10/100)^(($A10-1)/12)-1)/((1+Y10/100)^(1/12)-1)</f>
        <v>71.00197029746232</v>
      </c>
      <c r="BI10" s="3">
        <f>(1/((1+Y10/100)^(($A10-1)/12)))*((1+Y10/100)^(($A10-1)/12)-1)/((1+Y10/100)^(1/12)-1)</f>
        <v>71.00191704576494</v>
      </c>
      <c r="BJ10" s="3">
        <f>(1/((1+Y10/100)^(($A10-1)/12)))*((1+Y10/100)^(($A10-2)/12)-1)/((1+Y10/100)^(1/12)-1)</f>
        <v>70.0019162955807</v>
      </c>
      <c r="BK10" s="24">
        <f>1/(((100+Y10)/100)^(1/12))</f>
        <v>1.0000007500036563</v>
      </c>
      <c r="BL10" s="28">
        <f>1/(((100+Y10)/100)^($A10/12))</f>
        <v>1.000054001701041</v>
      </c>
      <c r="BM10" s="45">
        <f>(1/((1+AD10/100)^($A10/12)))*((1+AD10/100)^($A10/12)-1)/((1+AD10/100)^(1/12)-1)</f>
        <v>72.00019707215365</v>
      </c>
      <c r="BN10" s="45">
        <f>(1/((1+AD10/100)^($A10/12)))*((1+AD10/100)^(($A10-1)/12)-1)/((1+AD10/100)^(1/12)-1)</f>
        <v>71.00019699827313</v>
      </c>
      <c r="BO10" s="45">
        <f>(1/((1+AD10/100)^(($A10-1)/12)))*((1+AD10/100)^(($A10-1)/12)-1)/((1+AD10/100)^(1/12)-1)</f>
        <v>71.00019167325617</v>
      </c>
      <c r="BP10" s="45">
        <f>(1/((1+AD10/100)^(($A10-1)/12)))*((1+AD10/100)^(($A10-2)/12)-1)/((1+AD10/100)^(1/12)-1)</f>
        <v>70.00019159888015</v>
      </c>
      <c r="BQ10" s="45">
        <f>1/(((100+AD10)/100)^(1/12))</f>
        <v>1.0000000750000366</v>
      </c>
      <c r="BR10" s="240">
        <f>1/(((100+AD10)/100)^($A10/12))</f>
        <v>1.0000054000170098</v>
      </c>
    </row>
    <row r="11" spans="1:70" ht="12.75">
      <c r="A11" s="12">
        <f aca="true" t="shared" si="22" ref="A11:C26">A10</f>
        <v>72</v>
      </c>
      <c r="B11" s="10">
        <f t="shared" si="22"/>
        <v>460</v>
      </c>
      <c r="C11" s="12">
        <f t="shared" si="22"/>
        <v>0</v>
      </c>
      <c r="D11" s="37">
        <v>2</v>
      </c>
      <c r="E11" s="238">
        <f aca="true" t="shared" si="23" ref="E11:E29">(1/((1+D11/100)^($A11/12)))*((1+D11/100)^($A11/12)-1)/((1+D11/100)^(1/12)-1)</f>
        <v>67.831125045771</v>
      </c>
      <c r="F11" s="3">
        <f aca="true" t="shared" si="24" ref="F11:F29">IF($B$5&gt;0,IF($B$7&gt;0,AJ11,AJ11),IF($B$7&gt;0,AI11,AI11))</f>
        <v>67.831125045771</v>
      </c>
      <c r="G11" s="39">
        <f t="shared" si="0"/>
        <v>33478.85415213451</v>
      </c>
      <c r="H11" s="2">
        <f t="shared" si="2"/>
        <v>33478.85415213451</v>
      </c>
      <c r="I11" s="3">
        <f t="shared" si="3"/>
        <v>0</v>
      </c>
      <c r="J11" s="21">
        <f>IF(J$8&lt;&gt;" ",J$8-0.8," ")</f>
        <v>-0.7999999000000001</v>
      </c>
      <c r="K11" s="3">
        <f aca="true" t="shared" si="25" ref="K11:K29">IF(J11&lt;&gt;" ",IF($B$5&gt;0,IF($B$7&gt;0,AP11,AP11),IF($B$7&gt;0,AO11,AO11))," ")</f>
        <v>73.78784808625888</v>
      </c>
      <c r="L11" s="39">
        <f t="shared" si="4"/>
        <v>36632.74063587311</v>
      </c>
      <c r="M11" s="39">
        <f t="shared" si="5"/>
        <v>36632.74063587311</v>
      </c>
      <c r="N11" s="3">
        <f t="shared" si="1"/>
        <v>0</v>
      </c>
      <c r="O11" s="3">
        <f>IF(O$8&lt;&gt;" ",O$8-0.08," ")</f>
        <v>-0.08</v>
      </c>
      <c r="P11" s="3">
        <f t="shared" si="6"/>
        <v>72.17555295183455</v>
      </c>
      <c r="Q11" s="39">
        <f t="shared" si="7"/>
        <v>35776.84488828426</v>
      </c>
      <c r="R11" s="39">
        <f t="shared" si="8"/>
        <v>35776.84488828426</v>
      </c>
      <c r="S11" s="3">
        <f t="shared" si="9"/>
        <v>0</v>
      </c>
      <c r="T11" s="41">
        <f>IF(T$8&lt;&gt;" ",T$8-0.008," ")</f>
        <v>-0.008</v>
      </c>
      <c r="U11" s="3">
        <f t="shared" si="10"/>
        <v>72.01752352400605</v>
      </c>
      <c r="V11" s="39">
        <f t="shared" si="11"/>
        <v>35693.041765684306</v>
      </c>
      <c r="W11" s="41">
        <f t="shared" si="12"/>
        <v>35693.041765684306</v>
      </c>
      <c r="X11" s="41">
        <f t="shared" si="13"/>
        <v>0</v>
      </c>
      <c r="Y11" s="24">
        <f>IF(Y$8&lt;&gt;" ",Y$8-0.0008," ")</f>
        <v>-0.0008</v>
      </c>
      <c r="Z11" s="3">
        <f t="shared" si="14"/>
        <v>72.001752033607</v>
      </c>
      <c r="AA11" s="39">
        <f t="shared" si="15"/>
        <v>35684.67899890497</v>
      </c>
      <c r="AB11" s="24">
        <f t="shared" si="16"/>
        <v>35684.67899890497</v>
      </c>
      <c r="AC11" s="24">
        <f t="shared" si="17"/>
        <v>0</v>
      </c>
      <c r="AD11" s="45">
        <f>IF(AD$8&lt;&gt;" ",AD$8-0.00008," ")</f>
        <v>-8E-05</v>
      </c>
      <c r="AE11" s="45">
        <f t="shared" si="18"/>
        <v>72.00017513989958</v>
      </c>
      <c r="AF11" s="39">
        <f t="shared" si="19"/>
        <v>35683.84287038826</v>
      </c>
      <c r="AG11" s="45">
        <f t="shared" si="20"/>
        <v>35683.84287038826</v>
      </c>
      <c r="AH11" s="45">
        <f t="shared" si="21"/>
        <v>0</v>
      </c>
      <c r="AI11" s="31">
        <f aca="true" t="shared" si="26" ref="AI11:AI29">(1/((1+D11/100)^($A11/12)))*((1+D11/100)^($A11/12)-1)/((1+D11/100)^(1/12)-1)</f>
        <v>67.831125045771</v>
      </c>
      <c r="AJ11" s="3">
        <f aca="true" t="shared" si="27" ref="AJ11:AJ29">(1/((1+D11/100)^($A11/12)))*((1+D11/100)^(($A11-1)/12)-1)/((1+D11/100)^(1/12)-1)</f>
        <v>66.83277390384977</v>
      </c>
      <c r="AK11" s="3">
        <f aca="true" t="shared" si="28" ref="AK11:AK29">(1/((1+D11/100)^(($A11-1)/12)))*((1+D11/100)^(($A11-1)/12)-1)/((1+D11/100)^(1/12)-1)</f>
        <v>66.94315366358484</v>
      </c>
      <c r="AL11" s="3">
        <f aca="true" t="shared" si="29" ref="AL11:AL29">(1/((1+D11/100)^(($A11-1)/12)))*((1+D11/100)^(($A11-2)/12)-1)/((1+D11/100)^(1/12)-1)</f>
        <v>65.94480252166369</v>
      </c>
      <c r="AM11" s="24">
        <f aca="true" t="shared" si="30" ref="AM11:AM29">1/(((100+D11)/100)^(1/12))</f>
        <v>0.9983511419212522</v>
      </c>
      <c r="AN11" s="28">
        <f aca="true" t="shared" si="31" ref="AN11:AN29">1/(((100+D11)/100)^($A11/12))</f>
        <v>0.887971382186192</v>
      </c>
      <c r="AO11" s="3">
        <f aca="true" t="shared" si="32" ref="AO11:AO29">(1/((1+J11/100)^($A11/12)))*((1+J11/100)^($A11/12)-1)/((1+J11/100)^(1/12)-1)</f>
        <v>73.78784808625888</v>
      </c>
      <c r="AP11" s="3">
        <f aca="true" t="shared" si="33" ref="AP11:AP29">(1/((1+J11/100)^($A11/12)))*((1+J11/100)^(($A11-1)/12)-1)/((1+J11/100)^(1/12)-1)</f>
        <v>72.78717851463833</v>
      </c>
      <c r="AQ11" s="3">
        <f aca="true" t="shared" si="34" ref="AQ11:AQ29">(1/((1+J11/100)^(($A11-1)/12)))*((1+J11/100)^(($A11-1)/12)-1)/((1+J11/100)^(1/12)-1)</f>
        <v>72.7384748961295</v>
      </c>
      <c r="AR11" s="3">
        <f aca="true" t="shared" si="35" ref="AR11:AR29">(1/((1+J11/100)^(($A11-1)/12)))*((1+J11/100)^(($A11-2)/12)-1)/((1+J11/100)^(1/12)-1)</f>
        <v>71.73780532450891</v>
      </c>
      <c r="AS11" s="24">
        <f aca="true" t="shared" si="36" ref="AS11:AS29">1/(((100+J11)/100)^(1/12))</f>
        <v>1.0006695716204987</v>
      </c>
      <c r="AT11" s="28">
        <f aca="true" t="shared" si="37" ref="AT11:AT29">1/(((100+J11)/100)^($A11/12))</f>
        <v>1.0493731901293144</v>
      </c>
      <c r="AU11" s="3">
        <f aca="true" t="shared" si="38" ref="AU11:AU29">(1/((1+O11/100)^($A11/12)))*((1+O11/100)^($A11/12)-1)/((1+O11/100)^(1/12)-1)</f>
        <v>72.17555295183455</v>
      </c>
      <c r="AV11" s="3">
        <f aca="true" t="shared" si="39" ref="AV11:AV29">(1/((1+O11/100)^($A11/12)))*((1+O11/100)^(($A11-1)/12)-1)/((1+O11/100)^(1/12)-1)</f>
        <v>71.1754862562624</v>
      </c>
      <c r="AW11" s="3">
        <f aca="true" t="shared" si="40" ref="AW11:AW29">(1/((1+O11/100)^(($A11-1)/12)))*((1+O11/100)^(($A11-1)/12)-1)/((1+O11/100)^(1/12)-1)</f>
        <v>71.17073948311032</v>
      </c>
      <c r="AX11" s="3">
        <f aca="true" t="shared" si="41" ref="AX11:AX29">(1/((1+O11/100)^(($A11-1)/12)))*((1+O11/100)^(($A11-2)/12)-1)/((1+O11/100)^(1/12)-1)</f>
        <v>70.170672787538</v>
      </c>
      <c r="AY11" s="24">
        <f aca="true" t="shared" si="42" ref="AY11:AY29">1/(((100+O11)/100)^(1/12))</f>
        <v>1.0000666955716149</v>
      </c>
      <c r="AZ11" s="28">
        <f aca="true" t="shared" si="43" ref="AZ11:AZ29">1/(((100+O11)/100)^($A11/12))</f>
        <v>1.0048134687236925</v>
      </c>
      <c r="BA11" s="3">
        <f aca="true" t="shared" si="44" ref="BA11:BA29">(1/((1+T11/100)^($A11/12)))*((1+T11/100)^($A11/12)-1)/((1+T11/100)^(1/12)-1)</f>
        <v>72.01752352400605</v>
      </c>
      <c r="BB11" s="3">
        <f aca="true" t="shared" si="45" ref="BB11:BB29">(1/((1+T11/100)^($A11/12)))*((1+T11/100)^(($A11-1)/12)-1)/((1+T11/100)^(1/12)-1)</f>
        <v>71.01751685704305</v>
      </c>
      <c r="BC11" s="3">
        <f aca="true" t="shared" si="46" ref="BC11:BC29">(1/((1+T11/100)^(($A11-1)/12)))*((1+T11/100)^(($A11-1)/12)-1)/((1+T11/100)^(1/12)-1)</f>
        <v>71.01704338956993</v>
      </c>
      <c r="BD11" s="3">
        <f aca="true" t="shared" si="47" ref="BD11:BD29">(1/((1+T11/100)^(($A11-1)/12)))*((1+T11/100)^(($A11-2)/12)-1)/((1+T11/100)^(1/12)-1)</f>
        <v>70.01703672261581</v>
      </c>
      <c r="BE11" s="24">
        <f aca="true" t="shared" si="48" ref="BE11:BE29">1/(((100+T11)/100)^(1/12))</f>
        <v>1.0000066669555716</v>
      </c>
      <c r="BF11" s="28">
        <f aca="true" t="shared" si="49" ref="BF11:BF29">1/(((100+T11)/100)^($A11/12))</f>
        <v>1.0004801344286771</v>
      </c>
      <c r="BG11" s="3">
        <f aca="true" t="shared" si="50" ref="BG11:BG29">(1/((1+Y11/100)^($A11/12)))*((1+Y11/100)^($A11/12)-1)/((1+Y11/100)^(1/12)-1)</f>
        <v>72.001752033607</v>
      </c>
      <c r="BH11" s="3">
        <f aca="true" t="shared" si="51" ref="BH11:BH29">(1/((1+Y11/100)^($A11/12)))*((1+Y11/100)^(($A11-1)/12)-1)/((1+Y11/100)^(1/12)-1)</f>
        <v>71.00175136716578</v>
      </c>
      <c r="BI11" s="3">
        <f aca="true" t="shared" si="52" ref="BI11:BI29">(1/((1+Y11/100)^(($A11-1)/12)))*((1+Y11/100)^(($A11-1)/12)-1)/((1+Y11/100)^(1/12)-1)</f>
        <v>71.00170403249132</v>
      </c>
      <c r="BJ11" s="3">
        <f aca="true" t="shared" si="53" ref="BJ11:BJ29">(1/((1+Y11/100)^(($A11-1)/12)))*((1+Y11/100)^(($A11-2)/12)-1)/((1+Y11/100)^(1/12)-1)</f>
        <v>70.00170336572405</v>
      </c>
      <c r="BK11" s="24">
        <f aca="true" t="shared" si="54" ref="BK11:BK29">1/(((100+Y11)/100)^(1/12))</f>
        <v>1.0000006666695556</v>
      </c>
      <c r="BL11" s="28">
        <f aca="true" t="shared" si="55" ref="BL11:BL29">1/(((100+Y11)/100)^($A11/12))</f>
        <v>1.0000480013440287</v>
      </c>
      <c r="BM11" s="45">
        <f aca="true" t="shared" si="56" ref="BM11:BM29">(1/((1+AD11/100)^($A11/12)))*((1+AD11/100)^($A11/12)-1)/((1+AD11/100)^(1/12)-1)</f>
        <v>72.00017513989958</v>
      </c>
      <c r="BN11" s="45">
        <f aca="true" t="shared" si="57" ref="BN11:BN29">(1/((1+AD11/100)^($A11/12)))*((1+AD11/100)^(($A11-1)/12)-1)/((1+AD11/100)^(1/12)-1)</f>
        <v>71.00017507611855</v>
      </c>
      <c r="BO11" s="45">
        <f aca="true" t="shared" si="58" ref="BO11:BO29">(1/((1+AD11/100)^(($A11-1)/12)))*((1+AD11/100)^(($A11-1)/12)-1)/((1+AD11/100)^(1/12)-1)</f>
        <v>71.00017034277182</v>
      </c>
      <c r="BP11" s="45">
        <f aca="true" t="shared" si="59" ref="BP11:BP29">(1/((1+AD11/100)^(($A11-1)/12)))*((1+AD11/100)^(($A11-2)/12)-1)/((1+AD11/100)^(1/12)-1)</f>
        <v>70.00017027571315</v>
      </c>
      <c r="BQ11" s="45">
        <f aca="true" t="shared" si="60" ref="BQ11:BQ29">1/(((100+AD11)/100)^(1/12))</f>
        <v>1.0000000666666957</v>
      </c>
      <c r="BR11" s="240">
        <f aca="true" t="shared" si="61" ref="BR11:BR29">1/(((100+AD11)/100)^($A11/12))</f>
        <v>1.00000480001344</v>
      </c>
    </row>
    <row r="12" spans="1:70" ht="12.75">
      <c r="A12" s="12">
        <f t="shared" si="22"/>
        <v>72</v>
      </c>
      <c r="B12" s="10">
        <f t="shared" si="22"/>
        <v>460</v>
      </c>
      <c r="C12" s="12">
        <f t="shared" si="22"/>
        <v>0</v>
      </c>
      <c r="D12" s="37">
        <v>3</v>
      </c>
      <c r="E12" s="238">
        <f t="shared" si="23"/>
        <v>65.89536357352478</v>
      </c>
      <c r="F12" s="3">
        <f t="shared" si="24"/>
        <v>65.89536357352478</v>
      </c>
      <c r="G12" s="39">
        <f t="shared" si="0"/>
        <v>32458.967506894118</v>
      </c>
      <c r="H12" s="2">
        <f t="shared" si="2"/>
        <v>32458.967506894118</v>
      </c>
      <c r="I12" s="3">
        <f t="shared" si="3"/>
        <v>0</v>
      </c>
      <c r="J12" s="21">
        <f>IF(J$8&lt;&gt;" ",J$8-0.7," ")</f>
        <v>-0.6999999</v>
      </c>
      <c r="K12" s="3">
        <f t="shared" si="25"/>
        <v>73.56038661356838</v>
      </c>
      <c r="L12" s="39">
        <f t="shared" si="4"/>
        <v>36511.89345594414</v>
      </c>
      <c r="M12" s="39">
        <f t="shared" si="5"/>
        <v>36511.89345594414</v>
      </c>
      <c r="N12" s="3">
        <f t="shared" si="1"/>
        <v>0</v>
      </c>
      <c r="O12" s="3">
        <f>IF(O$8&lt;&gt;" ",O$8-0.07," ")</f>
        <v>-0.07</v>
      </c>
      <c r="P12" s="3">
        <f t="shared" si="6"/>
        <v>72.15357017080868</v>
      </c>
      <c r="Q12" s="39">
        <f t="shared" si="7"/>
        <v>35765.18645888167</v>
      </c>
      <c r="R12" s="39">
        <f t="shared" si="8"/>
        <v>35765.18645888167</v>
      </c>
      <c r="S12" s="3">
        <f t="shared" si="9"/>
        <v>0</v>
      </c>
      <c r="T12" s="41">
        <f>IF(T$8&lt;&gt;" ",T$8-0.007," ")</f>
        <v>-0.007</v>
      </c>
      <c r="U12" s="3">
        <f t="shared" si="10"/>
        <v>72.01533269865564</v>
      </c>
      <c r="V12" s="39">
        <f t="shared" si="11"/>
        <v>35691.88008024072</v>
      </c>
      <c r="W12" s="41">
        <f t="shared" si="12"/>
        <v>35691.88008024072</v>
      </c>
      <c r="X12" s="41">
        <f t="shared" si="13"/>
        <v>0</v>
      </c>
      <c r="Y12" s="24">
        <f>IF(Y$8&lt;&gt;" ",Y$8-0.0007," ")</f>
        <v>-0.0007</v>
      </c>
      <c r="Z12" s="3">
        <f t="shared" si="14"/>
        <v>72.0015330205421</v>
      </c>
      <c r="AA12" s="39">
        <f t="shared" si="15"/>
        <v>35684.56286958751</v>
      </c>
      <c r="AB12" s="24">
        <f t="shared" si="16"/>
        <v>35684.56286958751</v>
      </c>
      <c r="AC12" s="24">
        <f t="shared" si="17"/>
        <v>0</v>
      </c>
      <c r="AD12" s="45">
        <f>IF(AD$8&lt;&gt;" ",AD$8-0.00007," ")</f>
        <v>-7E-05</v>
      </c>
      <c r="AE12" s="45">
        <f t="shared" si="18"/>
        <v>72.0001533079953</v>
      </c>
      <c r="AF12" s="39">
        <f t="shared" si="19"/>
        <v>35683.83128945422</v>
      </c>
      <c r="AG12" s="45">
        <f t="shared" si="20"/>
        <v>35683.83128945422</v>
      </c>
      <c r="AH12" s="45">
        <f t="shared" si="21"/>
        <v>0</v>
      </c>
      <c r="AI12" s="31">
        <f t="shared" si="26"/>
        <v>65.89536357352478</v>
      </c>
      <c r="AJ12" s="3">
        <f t="shared" si="27"/>
        <v>64.89782377577477</v>
      </c>
      <c r="AK12" s="3">
        <f t="shared" si="28"/>
        <v>65.05787931684125</v>
      </c>
      <c r="AL12" s="3">
        <f t="shared" si="29"/>
        <v>64.06033951909114</v>
      </c>
      <c r="AM12" s="24">
        <f t="shared" si="30"/>
        <v>0.9975397977501389</v>
      </c>
      <c r="AN12" s="28">
        <f t="shared" si="31"/>
        <v>0.8374842566836544</v>
      </c>
      <c r="AO12" s="3">
        <f t="shared" si="32"/>
        <v>73.56038661356838</v>
      </c>
      <c r="AP12" s="3">
        <f t="shared" si="33"/>
        <v>72.55980105770352</v>
      </c>
      <c r="AQ12" s="3">
        <f t="shared" si="34"/>
        <v>72.51733810505468</v>
      </c>
      <c r="AR12" s="3">
        <f t="shared" si="35"/>
        <v>71.51675254918936</v>
      </c>
      <c r="AS12" s="24">
        <f t="shared" si="36"/>
        <v>1.0005855558651002</v>
      </c>
      <c r="AT12" s="28">
        <f t="shared" si="37"/>
        <v>1.043048508513969</v>
      </c>
      <c r="AU12" s="3">
        <f t="shared" si="38"/>
        <v>72.15357017080868</v>
      </c>
      <c r="AV12" s="3">
        <f t="shared" si="39"/>
        <v>71.15351181534855</v>
      </c>
      <c r="AW12" s="3">
        <f t="shared" si="40"/>
        <v>71.14935986157242</v>
      </c>
      <c r="AX12" s="3">
        <f t="shared" si="41"/>
        <v>70.14930150610918</v>
      </c>
      <c r="AY12" s="24">
        <f t="shared" si="42"/>
        <v>1.0000583554621465</v>
      </c>
      <c r="AZ12" s="28">
        <f t="shared" si="43"/>
        <v>1.0042103092382944</v>
      </c>
      <c r="BA12" s="3">
        <f t="shared" si="44"/>
        <v>72.01533269865564</v>
      </c>
      <c r="BB12" s="3">
        <f t="shared" si="45"/>
        <v>71.01532686506509</v>
      </c>
      <c r="BC12" s="3">
        <f t="shared" si="46"/>
        <v>71.01491259570038</v>
      </c>
      <c r="BD12" s="3">
        <f t="shared" si="47"/>
        <v>70.01490676213845</v>
      </c>
      <c r="BE12" s="24">
        <f t="shared" si="48"/>
        <v>1.0000058335545245</v>
      </c>
      <c r="BF12" s="28">
        <f t="shared" si="49"/>
        <v>1.0004201029192112</v>
      </c>
      <c r="BG12" s="3">
        <f t="shared" si="50"/>
        <v>72.0015330205421</v>
      </c>
      <c r="BH12" s="3">
        <f t="shared" si="51"/>
        <v>71.00153243751384</v>
      </c>
      <c r="BI12" s="3">
        <f t="shared" si="52"/>
        <v>71.00149101982039</v>
      </c>
      <c r="BJ12" s="3">
        <f t="shared" si="53"/>
        <v>70.00149043657217</v>
      </c>
      <c r="BK12" s="24">
        <f t="shared" si="54"/>
        <v>1.0000005833355452</v>
      </c>
      <c r="BL12" s="28">
        <f t="shared" si="55"/>
        <v>1.000042001029019</v>
      </c>
      <c r="BM12" s="45">
        <f t="shared" si="56"/>
        <v>72.0001533079953</v>
      </c>
      <c r="BN12" s="45">
        <f t="shared" si="57"/>
        <v>71.00015325135341</v>
      </c>
      <c r="BO12" s="45">
        <f t="shared" si="58"/>
        <v>71.00014910967647</v>
      </c>
      <c r="BP12" s="45">
        <f t="shared" si="59"/>
        <v>70.00014905236729</v>
      </c>
      <c r="BQ12" s="45">
        <f t="shared" si="60"/>
        <v>1.0000000583333555</v>
      </c>
      <c r="BR12" s="240">
        <f t="shared" si="61"/>
        <v>1.0000042000102898</v>
      </c>
    </row>
    <row r="13" spans="1:70" ht="12.75">
      <c r="A13" s="12">
        <f t="shared" si="22"/>
        <v>72</v>
      </c>
      <c r="B13" s="10">
        <f t="shared" si="22"/>
        <v>460</v>
      </c>
      <c r="C13" s="12">
        <f t="shared" si="22"/>
        <v>0</v>
      </c>
      <c r="D13" s="37">
        <v>4</v>
      </c>
      <c r="E13" s="238">
        <f t="shared" si="23"/>
        <v>64.0507456976352</v>
      </c>
      <c r="F13" s="3">
        <f t="shared" si="24"/>
        <v>64.0507456976352</v>
      </c>
      <c r="G13" s="39">
        <f t="shared" si="0"/>
        <v>31489.511886252847</v>
      </c>
      <c r="H13" s="2">
        <f t="shared" si="2"/>
        <v>31489.511886252847</v>
      </c>
      <c r="I13" s="3">
        <f t="shared" si="3"/>
        <v>0</v>
      </c>
      <c r="J13" s="21">
        <f>IF(J$8&lt;&gt;" ",J$8-0.6," ")</f>
        <v>-0.5999999</v>
      </c>
      <c r="K13" s="3">
        <f t="shared" si="25"/>
        <v>73.33407715460197</v>
      </c>
      <c r="L13" s="39">
        <f t="shared" si="4"/>
        <v>36391.69010492231</v>
      </c>
      <c r="M13" s="39">
        <f t="shared" si="5"/>
        <v>36391.69010492231</v>
      </c>
      <c r="N13" s="3">
        <f t="shared" si="1"/>
        <v>0</v>
      </c>
      <c r="O13" s="3">
        <f>IF(O$8&lt;&gt;" ",O$8-0.06," ")</f>
        <v>-0.06</v>
      </c>
      <c r="P13" s="3">
        <f t="shared" si="6"/>
        <v>72.13159845021876</v>
      </c>
      <c r="Q13" s="39">
        <f t="shared" si="7"/>
        <v>35753.53420010367</v>
      </c>
      <c r="R13" s="39">
        <f t="shared" si="8"/>
        <v>35753.53420010367</v>
      </c>
      <c r="S13" s="3">
        <f t="shared" si="9"/>
        <v>0</v>
      </c>
      <c r="T13" s="41">
        <f>IF(T$8&lt;&gt;" ",T$8-0.006," ")</f>
        <v>-0.006</v>
      </c>
      <c r="U13" s="3">
        <f t="shared" si="10"/>
        <v>72.01314198230286</v>
      </c>
      <c r="V13" s="39">
        <f t="shared" si="11"/>
        <v>35690.71845570983</v>
      </c>
      <c r="W13" s="41">
        <f t="shared" si="12"/>
        <v>35690.71845570983</v>
      </c>
      <c r="X13" s="41">
        <f t="shared" si="13"/>
        <v>0</v>
      </c>
      <c r="Y13" s="24">
        <f>IF(Y$8&lt;&gt;" ",Y$8-0.0006," ")</f>
        <v>-0.0006</v>
      </c>
      <c r="Z13" s="3">
        <f t="shared" si="14"/>
        <v>72.00131402444524</v>
      </c>
      <c r="AA13" s="39">
        <f t="shared" si="15"/>
        <v>35684.446748183036</v>
      </c>
      <c r="AB13" s="24">
        <f t="shared" si="16"/>
        <v>35684.446748183036</v>
      </c>
      <c r="AC13" s="24">
        <f t="shared" si="17"/>
        <v>0</v>
      </c>
      <c r="AD13" s="45">
        <f>IF(AD$8&lt;&gt;" ",AD$8-0.00006," ")</f>
        <v>-6E-05</v>
      </c>
      <c r="AE13" s="45">
        <f t="shared" si="18"/>
        <v>72.0001313335131</v>
      </c>
      <c r="AF13" s="39">
        <f t="shared" si="19"/>
        <v>35683.81964293541</v>
      </c>
      <c r="AG13" s="45">
        <f t="shared" si="20"/>
        <v>35683.81964293541</v>
      </c>
      <c r="AH13" s="45">
        <f t="shared" si="21"/>
        <v>0</v>
      </c>
      <c r="AI13" s="31">
        <f t="shared" si="26"/>
        <v>64.0507456976352</v>
      </c>
      <c r="AJ13" s="3">
        <f t="shared" si="27"/>
        <v>63.0540087550166</v>
      </c>
      <c r="AK13" s="3">
        <f t="shared" si="28"/>
        <v>63.260431171905026</v>
      </c>
      <c r="AL13" s="3">
        <f t="shared" si="29"/>
        <v>62.2636942292865</v>
      </c>
      <c r="AM13" s="24">
        <f t="shared" si="30"/>
        <v>0.9967369426185623</v>
      </c>
      <c r="AN13" s="28">
        <f t="shared" si="31"/>
        <v>0.7903145257301457</v>
      </c>
      <c r="AO13" s="3">
        <f t="shared" si="32"/>
        <v>73.33407715460197</v>
      </c>
      <c r="AP13" s="3">
        <f t="shared" si="33"/>
        <v>72.3335755228833</v>
      </c>
      <c r="AQ13" s="3">
        <f t="shared" si="34"/>
        <v>72.29730889958253</v>
      </c>
      <c r="AR13" s="3">
        <f t="shared" si="35"/>
        <v>71.29680726786412</v>
      </c>
      <c r="AS13" s="24">
        <f t="shared" si="36"/>
        <v>1.0005016317184243</v>
      </c>
      <c r="AT13" s="28">
        <f t="shared" si="37"/>
        <v>1.0367682550191728</v>
      </c>
      <c r="AU13" s="3">
        <f t="shared" si="38"/>
        <v>72.13159845021876</v>
      </c>
      <c r="AV13" s="3">
        <f t="shared" si="39"/>
        <v>71.13154843396178</v>
      </c>
      <c r="AW13" s="3">
        <f t="shared" si="40"/>
        <v>71.12799087810622</v>
      </c>
      <c r="AX13" s="3">
        <f t="shared" si="41"/>
        <v>70.12794086185009</v>
      </c>
      <c r="AY13" s="24">
        <f t="shared" si="42"/>
        <v>1.000050016256774</v>
      </c>
      <c r="AZ13" s="28">
        <f t="shared" si="43"/>
        <v>1.0036075721123494</v>
      </c>
      <c r="BA13" s="3">
        <f t="shared" si="44"/>
        <v>72.01314198230286</v>
      </c>
      <c r="BB13" s="3">
        <f t="shared" si="45"/>
        <v>71.01313698211192</v>
      </c>
      <c r="BC13" s="3">
        <f t="shared" si="46"/>
        <v>71.01278190666231</v>
      </c>
      <c r="BD13" s="3">
        <f t="shared" si="47"/>
        <v>70.01277690650603</v>
      </c>
      <c r="BE13" s="24">
        <f t="shared" si="48"/>
        <v>1.0000050001625067</v>
      </c>
      <c r="BF13" s="28">
        <f t="shared" si="49"/>
        <v>1.0003600756120974</v>
      </c>
      <c r="BG13" s="3">
        <f t="shared" si="50"/>
        <v>72.00131402444524</v>
      </c>
      <c r="BH13" s="3">
        <f t="shared" si="51"/>
        <v>71.0013135242508</v>
      </c>
      <c r="BI13" s="3">
        <f t="shared" si="52"/>
        <v>71.00127802349643</v>
      </c>
      <c r="BJ13" s="3">
        <f t="shared" si="53"/>
        <v>70.00127752346485</v>
      </c>
      <c r="BK13" s="24">
        <f t="shared" si="54"/>
        <v>1.000000500001625</v>
      </c>
      <c r="BL13" s="28">
        <f t="shared" si="55"/>
        <v>1.0000360007560125</v>
      </c>
      <c r="BM13" s="45">
        <f t="shared" si="56"/>
        <v>72.0001313335131</v>
      </c>
      <c r="BN13" s="45">
        <f t="shared" si="57"/>
        <v>71.00013128623101</v>
      </c>
      <c r="BO13" s="45">
        <f t="shared" si="58"/>
        <v>71.00012773622348</v>
      </c>
      <c r="BP13" s="45">
        <f t="shared" si="59"/>
        <v>70.000127687871</v>
      </c>
      <c r="BQ13" s="45">
        <f t="shared" si="60"/>
        <v>1.0000000500000163</v>
      </c>
      <c r="BR13" s="240">
        <f t="shared" si="61"/>
        <v>1.00000360000756</v>
      </c>
    </row>
    <row r="14" spans="1:70" ht="12.75">
      <c r="A14" s="12">
        <f t="shared" si="22"/>
        <v>72</v>
      </c>
      <c r="B14" s="10">
        <f t="shared" si="22"/>
        <v>460</v>
      </c>
      <c r="C14" s="12">
        <f t="shared" si="22"/>
        <v>0</v>
      </c>
      <c r="D14" s="37">
        <v>5</v>
      </c>
      <c r="E14" s="238">
        <f t="shared" si="23"/>
        <v>62.29182441190084</v>
      </c>
      <c r="F14" s="3">
        <f t="shared" si="24"/>
        <v>62.29182441190084</v>
      </c>
      <c r="G14" s="39">
        <f t="shared" si="0"/>
        <v>30567.34895260154</v>
      </c>
      <c r="H14" s="2">
        <f t="shared" si="2"/>
        <v>30567.34895260154</v>
      </c>
      <c r="I14" s="3">
        <f t="shared" si="3"/>
        <v>0</v>
      </c>
      <c r="J14" s="21">
        <f>IF(J$8&lt;&gt;" ",J$8-0.5," ")</f>
        <v>-0.4999999</v>
      </c>
      <c r="K14" s="3">
        <f t="shared" si="25"/>
        <v>73.10891226492008</v>
      </c>
      <c r="L14" s="39">
        <f t="shared" si="4"/>
        <v>36272.12624486435</v>
      </c>
      <c r="M14" s="39">
        <f t="shared" si="5"/>
        <v>36272.12624486435</v>
      </c>
      <c r="N14" s="3">
        <f t="shared" si="1"/>
        <v>0</v>
      </c>
      <c r="O14" s="3">
        <f>IF(O$8&lt;&gt;" ",O$8-0.05," ")</f>
        <v>-0.05</v>
      </c>
      <c r="P14" s="3">
        <f t="shared" si="6"/>
        <v>72.10963778300273</v>
      </c>
      <c r="Q14" s="39">
        <f t="shared" si="7"/>
        <v>35741.88810783521</v>
      </c>
      <c r="R14" s="39">
        <f t="shared" si="8"/>
        <v>35741.88810783521</v>
      </c>
      <c r="S14" s="3">
        <f t="shared" si="9"/>
        <v>0</v>
      </c>
      <c r="T14" s="41">
        <f>IF(T$8&lt;&gt;" ",T$8-0.005," ")</f>
        <v>-0.005</v>
      </c>
      <c r="U14" s="3">
        <f t="shared" si="10"/>
        <v>72.01095137586191</v>
      </c>
      <c r="V14" s="39">
        <f t="shared" si="11"/>
        <v>35689.556892511304</v>
      </c>
      <c r="W14" s="41">
        <f t="shared" si="12"/>
        <v>35689.556892511304</v>
      </c>
      <c r="X14" s="41">
        <f t="shared" si="13"/>
        <v>0</v>
      </c>
      <c r="Y14" s="24">
        <f>IF(Y$8&lt;&gt;" ",Y$8-0.0005," ")</f>
        <v>-0.0005</v>
      </c>
      <c r="Z14" s="3">
        <f t="shared" si="14"/>
        <v>72.00109501672925</v>
      </c>
      <c r="AA14" s="39">
        <f t="shared" si="15"/>
        <v>35684.33062154144</v>
      </c>
      <c r="AB14" s="24">
        <f t="shared" si="16"/>
        <v>35684.33062154144</v>
      </c>
      <c r="AC14" s="24">
        <f t="shared" si="17"/>
        <v>0</v>
      </c>
      <c r="AD14" s="45">
        <f>IF(AD$8&lt;&gt;" ",AD$8-0.00005," ")</f>
        <v>-5E-05</v>
      </c>
      <c r="AE14" s="45">
        <f t="shared" si="18"/>
        <v>72.00010948528588</v>
      </c>
      <c r="AF14" s="39">
        <f t="shared" si="19"/>
        <v>35683.80805449496</v>
      </c>
      <c r="AG14" s="45">
        <f t="shared" si="20"/>
        <v>35683.80805449496</v>
      </c>
      <c r="AH14" s="45">
        <f t="shared" si="21"/>
        <v>0</v>
      </c>
      <c r="AI14" s="31">
        <f t="shared" si="26"/>
        <v>62.29182441190084</v>
      </c>
      <c r="AJ14" s="3">
        <f t="shared" si="27"/>
        <v>61.29588200454985</v>
      </c>
      <c r="AK14" s="3">
        <f t="shared" si="28"/>
        <v>61.54560901526427</v>
      </c>
      <c r="AL14" s="3">
        <f t="shared" si="29"/>
        <v>60.54966660791323</v>
      </c>
      <c r="AM14" s="24">
        <f t="shared" si="30"/>
        <v>0.995942407351067</v>
      </c>
      <c r="AN14" s="28">
        <f t="shared" si="31"/>
        <v>0.7462153966366276</v>
      </c>
      <c r="AO14" s="3">
        <f t="shared" si="32"/>
        <v>73.10891226492008</v>
      </c>
      <c r="AP14" s="3">
        <f t="shared" si="33"/>
        <v>72.10849446593184</v>
      </c>
      <c r="AQ14" s="3">
        <f t="shared" si="34"/>
        <v>72.07838019158989</v>
      </c>
      <c r="AR14" s="3">
        <f t="shared" si="35"/>
        <v>71.07796239260136</v>
      </c>
      <c r="AS14" s="24">
        <f t="shared" si="36"/>
        <v>1.0004177989885719</v>
      </c>
      <c r="AT14" s="28">
        <f t="shared" si="37"/>
        <v>1.0305320733305174</v>
      </c>
      <c r="AU14" s="3">
        <f t="shared" si="38"/>
        <v>72.10963778300273</v>
      </c>
      <c r="AV14" s="3">
        <f t="shared" si="39"/>
        <v>71.10959610505299</v>
      </c>
      <c r="AW14" s="3">
        <f t="shared" si="40"/>
        <v>71.10663252600042</v>
      </c>
      <c r="AX14" s="3">
        <f t="shared" si="41"/>
        <v>70.10659084804486</v>
      </c>
      <c r="AY14" s="24">
        <f t="shared" si="42"/>
        <v>1.0000416779553087</v>
      </c>
      <c r="AZ14" s="28">
        <f t="shared" si="43"/>
        <v>1.0030052570078825</v>
      </c>
      <c r="BA14" s="3">
        <f t="shared" si="44"/>
        <v>72.01095137586191</v>
      </c>
      <c r="BB14" s="3">
        <f t="shared" si="45"/>
        <v>71.0109472090588</v>
      </c>
      <c r="BC14" s="3">
        <f t="shared" si="46"/>
        <v>71.01065132333132</v>
      </c>
      <c r="BD14" s="3">
        <f t="shared" si="47"/>
        <v>70.01064715656948</v>
      </c>
      <c r="BE14" s="24">
        <f t="shared" si="48"/>
        <v>1.0000041667795179</v>
      </c>
      <c r="BF14" s="28">
        <f t="shared" si="49"/>
        <v>1.000300052507001</v>
      </c>
      <c r="BG14" s="3">
        <f t="shared" si="50"/>
        <v>72.00109501672925</v>
      </c>
      <c r="BH14" s="3">
        <f t="shared" si="51"/>
        <v>71.00109460002666</v>
      </c>
      <c r="BI14" s="3">
        <f t="shared" si="52"/>
        <v>71.00106501616945</v>
      </c>
      <c r="BJ14" s="3">
        <f t="shared" si="53"/>
        <v>70.00106459938998</v>
      </c>
      <c r="BK14" s="24">
        <f t="shared" si="54"/>
        <v>1.0000004166677952</v>
      </c>
      <c r="BL14" s="28">
        <f t="shared" si="55"/>
        <v>1.0000300005250071</v>
      </c>
      <c r="BM14" s="45">
        <f t="shared" si="56"/>
        <v>72.00010948528588</v>
      </c>
      <c r="BN14" s="45">
        <f t="shared" si="57"/>
        <v>71.00010944292296</v>
      </c>
      <c r="BO14" s="45">
        <f t="shared" si="58"/>
        <v>71.00010648458438</v>
      </c>
      <c r="BP14" s="45">
        <f t="shared" si="59"/>
        <v>70.00010644392</v>
      </c>
      <c r="BQ14" s="45">
        <f t="shared" si="60"/>
        <v>1.0000000416666779</v>
      </c>
      <c r="BR14" s="240">
        <f t="shared" si="61"/>
        <v>1.0000030000052504</v>
      </c>
    </row>
    <row r="15" spans="1:70" ht="12.75">
      <c r="A15" s="12">
        <f t="shared" si="22"/>
        <v>72</v>
      </c>
      <c r="B15" s="10">
        <f t="shared" si="22"/>
        <v>460</v>
      </c>
      <c r="C15" s="12">
        <f t="shared" si="22"/>
        <v>0</v>
      </c>
      <c r="D15" s="37">
        <v>6</v>
      </c>
      <c r="E15" s="238">
        <f t="shared" si="23"/>
        <v>60.613537671494186</v>
      </c>
      <c r="F15" s="3">
        <f t="shared" si="24"/>
        <v>60.613537671494186</v>
      </c>
      <c r="G15" s="39">
        <f t="shared" si="0"/>
        <v>29689.569914439548</v>
      </c>
      <c r="H15" s="2">
        <f t="shared" si="2"/>
        <v>29689.569914439548</v>
      </c>
      <c r="I15" s="3">
        <f t="shared" si="3"/>
        <v>0</v>
      </c>
      <c r="J15" s="21">
        <f>IF(J$8&lt;&gt;" ",J$8-0.4," ")</f>
        <v>-0.3999999</v>
      </c>
      <c r="K15" s="3">
        <f t="shared" si="25"/>
        <v>72.884884557344</v>
      </c>
      <c r="L15" s="39">
        <f t="shared" si="4"/>
        <v>36153.19757240083</v>
      </c>
      <c r="M15" s="39">
        <f t="shared" si="5"/>
        <v>36153.19757240083</v>
      </c>
      <c r="N15" s="3">
        <f t="shared" si="1"/>
        <v>0</v>
      </c>
      <c r="O15" s="3">
        <f>IF(O$8&lt;&gt;" ",O$8-0.04," ")</f>
        <v>-0.04</v>
      </c>
      <c r="P15" s="3">
        <f t="shared" si="6"/>
        <v>72.08768816233409</v>
      </c>
      <c r="Q15" s="39">
        <f t="shared" si="7"/>
        <v>35730.24817807044</v>
      </c>
      <c r="R15" s="39">
        <f t="shared" si="8"/>
        <v>35730.24817807044</v>
      </c>
      <c r="S15" s="3">
        <f t="shared" si="9"/>
        <v>0</v>
      </c>
      <c r="T15" s="41">
        <f>IF(T$8&lt;&gt;" ",T$8-0.004," ")</f>
        <v>-0.004</v>
      </c>
      <c r="U15" s="3">
        <f t="shared" si="10"/>
        <v>72.00876088060262</v>
      </c>
      <c r="V15" s="39">
        <f t="shared" si="11"/>
        <v>35688.3953912284</v>
      </c>
      <c r="W15" s="41">
        <f t="shared" si="12"/>
        <v>35688.3953912284</v>
      </c>
      <c r="X15" s="41">
        <f t="shared" si="13"/>
        <v>0</v>
      </c>
      <c r="Y15" s="24">
        <f>IF(Y$8&lt;&gt;" ",Y$8-0.0004," ")</f>
        <v>-0.0004</v>
      </c>
      <c r="Z15" s="3">
        <f t="shared" si="14"/>
        <v>72.00087600916581</v>
      </c>
      <c r="AA15" s="39">
        <f t="shared" si="15"/>
        <v>35684.2144950777</v>
      </c>
      <c r="AB15" s="24">
        <f t="shared" si="16"/>
        <v>35684.2144950777</v>
      </c>
      <c r="AC15" s="24">
        <f t="shared" si="17"/>
        <v>0</v>
      </c>
      <c r="AD15" s="45">
        <f>IF(AD$8&lt;&gt;" ",AD$8-0.00004," ")</f>
        <v>-4E-05</v>
      </c>
      <c r="AE15" s="45">
        <f t="shared" si="18"/>
        <v>72.00008765149825</v>
      </c>
      <c r="AF15" s="39">
        <f t="shared" si="19"/>
        <v>35683.79647269781</v>
      </c>
      <c r="AG15" s="45">
        <f t="shared" si="20"/>
        <v>35683.79647269781</v>
      </c>
      <c r="AH15" s="45">
        <f t="shared" si="21"/>
        <v>0</v>
      </c>
      <c r="AI15" s="31">
        <f t="shared" si="26"/>
        <v>60.613537671494186</v>
      </c>
      <c r="AJ15" s="3">
        <f t="shared" si="27"/>
        <v>59.61838164377948</v>
      </c>
      <c r="AK15" s="3">
        <f t="shared" si="28"/>
        <v>59.90857713105451</v>
      </c>
      <c r="AL15" s="3">
        <f t="shared" si="29"/>
        <v>58.913421103339815</v>
      </c>
      <c r="AM15" s="24">
        <f t="shared" si="30"/>
        <v>0.9951560277146928</v>
      </c>
      <c r="AN15" s="28">
        <f t="shared" si="31"/>
        <v>0.7049605404396763</v>
      </c>
      <c r="AO15" s="3">
        <f t="shared" si="32"/>
        <v>72.884884557344</v>
      </c>
      <c r="AP15" s="3">
        <f t="shared" si="33"/>
        <v>71.88455049985944</v>
      </c>
      <c r="AQ15" s="3">
        <f t="shared" si="34"/>
        <v>71.86054494699846</v>
      </c>
      <c r="AR15" s="3">
        <f t="shared" si="35"/>
        <v>70.86021088951388</v>
      </c>
      <c r="AS15" s="24">
        <f t="shared" si="36"/>
        <v>1.0003340574842383</v>
      </c>
      <c r="AT15" s="28">
        <f t="shared" si="37"/>
        <v>1.0243396103452325</v>
      </c>
      <c r="AU15" s="3">
        <f t="shared" si="38"/>
        <v>72.08768816233409</v>
      </c>
      <c r="AV15" s="3">
        <f t="shared" si="39"/>
        <v>71.08765482178029</v>
      </c>
      <c r="AW15" s="3">
        <f t="shared" si="40"/>
        <v>71.08528479875062</v>
      </c>
      <c r="AX15" s="3">
        <f t="shared" si="41"/>
        <v>70.08525145819033</v>
      </c>
      <c r="AY15" s="24">
        <f t="shared" si="42"/>
        <v>1.0000333405575623</v>
      </c>
      <c r="AZ15" s="28">
        <f t="shared" si="43"/>
        <v>1.0024033635872285</v>
      </c>
      <c r="BA15" s="3">
        <f t="shared" si="44"/>
        <v>72.00876088060262</v>
      </c>
      <c r="BB15" s="3">
        <f t="shared" si="45"/>
        <v>71.00875754719756</v>
      </c>
      <c r="BC15" s="3">
        <f t="shared" si="46"/>
        <v>71.00852084699955</v>
      </c>
      <c r="BD15" s="3">
        <f t="shared" si="47"/>
        <v>70.00851751360486</v>
      </c>
      <c r="BE15" s="24">
        <f t="shared" si="48"/>
        <v>1.0000033334055576</v>
      </c>
      <c r="BF15" s="28">
        <f t="shared" si="49"/>
        <v>1.0002400336035846</v>
      </c>
      <c r="BG15" s="3">
        <f t="shared" si="50"/>
        <v>72.00087600916581</v>
      </c>
      <c r="BH15" s="3">
        <f t="shared" si="51"/>
        <v>71.0008756754235</v>
      </c>
      <c r="BI15" s="3">
        <f t="shared" si="52"/>
        <v>71.00085200842155</v>
      </c>
      <c r="BJ15" s="3">
        <f t="shared" si="53"/>
        <v>70.00085167493913</v>
      </c>
      <c r="BK15" s="24">
        <f t="shared" si="54"/>
        <v>1.0000003333340555</v>
      </c>
      <c r="BL15" s="28">
        <f t="shared" si="55"/>
        <v>1.0000240003360037</v>
      </c>
      <c r="BM15" s="45">
        <f t="shared" si="56"/>
        <v>72.00008765149825</v>
      </c>
      <c r="BN15" s="45">
        <f t="shared" si="57"/>
        <v>71.00008761627517</v>
      </c>
      <c r="BO15" s="45">
        <f t="shared" si="58"/>
        <v>71.00008524960515</v>
      </c>
      <c r="BP15" s="45">
        <f t="shared" si="59"/>
        <v>70.00008521440866</v>
      </c>
      <c r="BQ15" s="45">
        <f t="shared" si="60"/>
        <v>1.0000000333333405</v>
      </c>
      <c r="BR15" s="240">
        <f t="shared" si="61"/>
        <v>1.00000240000336</v>
      </c>
    </row>
    <row r="16" spans="1:70" ht="12.75">
      <c r="A16" s="12">
        <f t="shared" si="22"/>
        <v>72</v>
      </c>
      <c r="B16" s="10">
        <f t="shared" si="22"/>
        <v>460</v>
      </c>
      <c r="C16" s="12">
        <f t="shared" si="22"/>
        <v>0</v>
      </c>
      <c r="D16" s="37">
        <v>7</v>
      </c>
      <c r="E16" s="238">
        <f t="shared" si="23"/>
        <v>59.011177343744485</v>
      </c>
      <c r="F16" s="3">
        <f t="shared" si="24"/>
        <v>59.011177343744485</v>
      </c>
      <c r="G16" s="39">
        <f t="shared" si="0"/>
        <v>28853.47645443205</v>
      </c>
      <c r="H16" s="2">
        <f t="shared" si="2"/>
        <v>28853.47645443205</v>
      </c>
      <c r="I16" s="3">
        <f t="shared" si="3"/>
        <v>0</v>
      </c>
      <c r="J16" s="21">
        <f>IF(J$8&lt;&gt;" ",J$8-0.3," ")</f>
        <v>-0.2999999</v>
      </c>
      <c r="K16" s="3">
        <f t="shared" si="25"/>
        <v>72.66198670144956</v>
      </c>
      <c r="L16" s="39">
        <f t="shared" si="4"/>
        <v>36034.89981842085</v>
      </c>
      <c r="M16" s="39">
        <f t="shared" si="5"/>
        <v>36034.89981842085</v>
      </c>
      <c r="N16" s="3">
        <f t="shared" si="1"/>
        <v>0</v>
      </c>
      <c r="O16" s="3">
        <f>IF(O$8&lt;&gt;" ",O$8-0.03," ")</f>
        <v>-0.03</v>
      </c>
      <c r="P16" s="3">
        <f t="shared" si="6"/>
        <v>72.06574958052437</v>
      </c>
      <c r="Q16" s="39">
        <f t="shared" si="7"/>
        <v>35718.614406407716</v>
      </c>
      <c r="R16" s="39">
        <f t="shared" si="8"/>
        <v>35718.614406407716</v>
      </c>
      <c r="S16" s="3">
        <f t="shared" si="9"/>
        <v>0</v>
      </c>
      <c r="T16" s="41">
        <f>IF(T$8&lt;&gt;" ",T$8-0.003," ")</f>
        <v>-0.003</v>
      </c>
      <c r="U16" s="3">
        <f t="shared" si="10"/>
        <v>72.00657049630122</v>
      </c>
      <c r="V16" s="39">
        <f t="shared" si="11"/>
        <v>35687.23395175732</v>
      </c>
      <c r="W16" s="41">
        <f t="shared" si="12"/>
        <v>35687.23395175732</v>
      </c>
      <c r="X16" s="41">
        <f t="shared" si="13"/>
        <v>0</v>
      </c>
      <c r="Y16" s="24">
        <f>IF(Y$8&lt;&gt;" ",Y$8-0.0003," ")</f>
        <v>-0.0003</v>
      </c>
      <c r="Z16" s="3">
        <f t="shared" si="14"/>
        <v>72.00065700168831</v>
      </c>
      <c r="AA16" s="39">
        <f t="shared" si="15"/>
        <v>35684.09836876118</v>
      </c>
      <c r="AB16" s="24">
        <f t="shared" si="16"/>
        <v>35684.09836876118</v>
      </c>
      <c r="AC16" s="24">
        <f t="shared" si="17"/>
        <v>0</v>
      </c>
      <c r="AD16" s="45">
        <f>IF(AD$8&lt;&gt;" ",AD$8-0.00003," ")</f>
        <v>-3E-05</v>
      </c>
      <c r="AE16" s="45">
        <f t="shared" si="18"/>
        <v>72.0000657888513</v>
      </c>
      <c r="AF16" s="39">
        <f t="shared" si="19"/>
        <v>35683.78487762644</v>
      </c>
      <c r="AG16" s="45">
        <f t="shared" si="20"/>
        <v>35683.78487762644</v>
      </c>
      <c r="AH16" s="45">
        <f t="shared" si="21"/>
        <v>0</v>
      </c>
      <c r="AI16" s="31">
        <f t="shared" si="26"/>
        <v>59.011177343744485</v>
      </c>
      <c r="AJ16" s="3">
        <f t="shared" si="27"/>
        <v>58.016799699515</v>
      </c>
      <c r="AK16" s="3">
        <f t="shared" si="28"/>
        <v>58.344835119928014</v>
      </c>
      <c r="AL16" s="3">
        <f t="shared" si="29"/>
        <v>57.35045747569845</v>
      </c>
      <c r="AM16" s="24">
        <f t="shared" si="30"/>
        <v>0.9943776442295407</v>
      </c>
      <c r="AN16" s="28">
        <f t="shared" si="31"/>
        <v>0.6663422238165125</v>
      </c>
      <c r="AO16" s="3">
        <f t="shared" si="32"/>
        <v>72.66198670144956</v>
      </c>
      <c r="AP16" s="3">
        <f t="shared" si="33"/>
        <v>71.66173629443392</v>
      </c>
      <c r="AQ16" s="3">
        <f t="shared" si="34"/>
        <v>71.64379618530857</v>
      </c>
      <c r="AR16" s="3">
        <f t="shared" si="35"/>
        <v>70.64354577829394</v>
      </c>
      <c r="AS16" s="24">
        <f t="shared" si="36"/>
        <v>1.0002504070147111</v>
      </c>
      <c r="AT16" s="28">
        <f t="shared" si="37"/>
        <v>1.0181905161400493</v>
      </c>
      <c r="AU16" s="3">
        <f t="shared" si="38"/>
        <v>72.06574958052437</v>
      </c>
      <c r="AV16" s="3">
        <f t="shared" si="39"/>
        <v>71.06572457646239</v>
      </c>
      <c r="AW16" s="3">
        <f t="shared" si="40"/>
        <v>71.06394768901272</v>
      </c>
      <c r="AX16" s="3">
        <f t="shared" si="41"/>
        <v>70.06392268495456</v>
      </c>
      <c r="AY16" s="24">
        <f t="shared" si="42"/>
        <v>1.0000250040633465</v>
      </c>
      <c r="AZ16" s="28">
        <f t="shared" si="43"/>
        <v>1.001801891513021</v>
      </c>
      <c r="BA16" s="3">
        <f t="shared" si="44"/>
        <v>72.00657049630122</v>
      </c>
      <c r="BB16" s="3">
        <f t="shared" si="45"/>
        <v>71.00656799622234</v>
      </c>
      <c r="BC16" s="3">
        <f t="shared" si="46"/>
        <v>71.00639047736145</v>
      </c>
      <c r="BD16" s="3">
        <f t="shared" si="47"/>
        <v>70.00638797731332</v>
      </c>
      <c r="BE16" s="24">
        <f t="shared" si="48"/>
        <v>1.0000025000406259</v>
      </c>
      <c r="BF16" s="28">
        <f t="shared" si="49"/>
        <v>1.000180018901512</v>
      </c>
      <c r="BG16" s="3">
        <f t="shared" si="50"/>
        <v>72.00065700168831</v>
      </c>
      <c r="BH16" s="3">
        <f t="shared" si="51"/>
        <v>71.00065675159601</v>
      </c>
      <c r="BI16" s="3">
        <f t="shared" si="52"/>
        <v>71.00063900140742</v>
      </c>
      <c r="BJ16" s="3">
        <f t="shared" si="53"/>
        <v>70.00063875173332</v>
      </c>
      <c r="BK16" s="24">
        <f t="shared" si="54"/>
        <v>1.0000002500004062</v>
      </c>
      <c r="BL16" s="28">
        <f t="shared" si="55"/>
        <v>1.0000180001890013</v>
      </c>
      <c r="BM16" s="45">
        <f t="shared" si="56"/>
        <v>72.0000657888513</v>
      </c>
      <c r="BN16" s="45">
        <f t="shared" si="57"/>
        <v>71.0000657696501</v>
      </c>
      <c r="BO16" s="45">
        <f t="shared" si="58"/>
        <v>71.00006399464823</v>
      </c>
      <c r="BP16" s="45">
        <f t="shared" si="59"/>
        <v>70.00006396491985</v>
      </c>
      <c r="BQ16" s="45">
        <f t="shared" si="60"/>
        <v>1.000000025000004</v>
      </c>
      <c r="BR16" s="240">
        <f t="shared" si="61"/>
        <v>1.0000018000018895</v>
      </c>
    </row>
    <row r="17" spans="1:70" ht="12.75">
      <c r="A17" s="12">
        <f t="shared" si="22"/>
        <v>72</v>
      </c>
      <c r="B17" s="10">
        <f t="shared" si="22"/>
        <v>460</v>
      </c>
      <c r="C17" s="12">
        <f t="shared" si="22"/>
        <v>0</v>
      </c>
      <c r="D17" s="37">
        <v>8</v>
      </c>
      <c r="E17" s="238">
        <f t="shared" si="23"/>
        <v>57.480360954776174</v>
      </c>
      <c r="F17" s="3">
        <f t="shared" si="24"/>
        <v>57.480360954776174</v>
      </c>
      <c r="G17" s="39">
        <f t="shared" si="0"/>
        <v>28056.563420118597</v>
      </c>
      <c r="H17" s="2">
        <f t="shared" si="2"/>
        <v>28056.563420118597</v>
      </c>
      <c r="I17" s="3">
        <f t="shared" si="3"/>
        <v>0</v>
      </c>
      <c r="J17" s="21">
        <f>IF(J$8&lt;&gt;" ",J$8-0.2," ")</f>
        <v>-0.1999999</v>
      </c>
      <c r="K17" s="3">
        <f t="shared" si="25"/>
        <v>72.44021142311112</v>
      </c>
      <c r="L17" s="39">
        <f t="shared" si="4"/>
        <v>35917.2287477808</v>
      </c>
      <c r="M17" s="39">
        <f t="shared" si="5"/>
        <v>35917.2287477808</v>
      </c>
      <c r="N17" s="3">
        <f t="shared" si="1"/>
        <v>0</v>
      </c>
      <c r="O17" s="3">
        <f>IF(O$8&lt;&gt;" ",O$8-0.02," ")</f>
        <v>-0.02</v>
      </c>
      <c r="P17" s="3">
        <f t="shared" si="6"/>
        <v>72.04382203133686</v>
      </c>
      <c r="Q17" s="39">
        <f t="shared" si="7"/>
        <v>35706.98678911403</v>
      </c>
      <c r="R17" s="39">
        <f t="shared" si="8"/>
        <v>35706.98678911403</v>
      </c>
      <c r="S17" s="3">
        <f t="shared" si="9"/>
        <v>0</v>
      </c>
      <c r="T17" s="41">
        <f>IF(T$8&lt;&gt;" ",T$8-0.002," ")</f>
        <v>-0.002</v>
      </c>
      <c r="U17" s="3">
        <f t="shared" si="10"/>
        <v>72.00438021850616</v>
      </c>
      <c r="V17" s="39">
        <f t="shared" si="11"/>
        <v>35686.07257204948</v>
      </c>
      <c r="W17" s="41">
        <f t="shared" si="12"/>
        <v>35686.07257204948</v>
      </c>
      <c r="X17" s="41">
        <f t="shared" si="13"/>
        <v>0</v>
      </c>
      <c r="Y17" s="24">
        <f>IF(Y$8&lt;&gt;" ",Y$8-0.0002," ")</f>
        <v>-0.0002</v>
      </c>
      <c r="Z17" s="3">
        <f t="shared" si="14"/>
        <v>72.00043799476308</v>
      </c>
      <c r="AA17" s="39">
        <f t="shared" si="15"/>
        <v>35683.98224280637</v>
      </c>
      <c r="AB17" s="24">
        <f t="shared" si="16"/>
        <v>35683.98224280637</v>
      </c>
      <c r="AC17" s="24">
        <f t="shared" si="17"/>
        <v>0</v>
      </c>
      <c r="AD17" s="45">
        <f>IF(AD$8&lt;&gt;" ",AD$8-0.00002," ")</f>
        <v>-2E-05</v>
      </c>
      <c r="AE17" s="45">
        <f t="shared" si="18"/>
        <v>72.00004397395072</v>
      </c>
      <c r="AF17" s="39">
        <f t="shared" si="19"/>
        <v>35683.77330451949</v>
      </c>
      <c r="AG17" s="45">
        <f t="shared" si="20"/>
        <v>35683.77330451949</v>
      </c>
      <c r="AH17" s="45">
        <f t="shared" si="21"/>
        <v>0</v>
      </c>
      <c r="AI17" s="31">
        <f t="shared" si="26"/>
        <v>57.480360954776174</v>
      </c>
      <c r="AJ17" s="3">
        <f t="shared" si="27"/>
        <v>56.48675385278789</v>
      </c>
      <c r="AK17" s="3">
        <f t="shared" si="28"/>
        <v>56.85019132789308</v>
      </c>
      <c r="AL17" s="3">
        <f t="shared" si="29"/>
        <v>55.85658422590476</v>
      </c>
      <c r="AM17" s="24">
        <f t="shared" si="30"/>
        <v>0.993607101988294</v>
      </c>
      <c r="AN17" s="28">
        <f t="shared" si="31"/>
        <v>0.6301696268831045</v>
      </c>
      <c r="AO17" s="3">
        <f t="shared" si="32"/>
        <v>72.44021142311112</v>
      </c>
      <c r="AP17" s="3">
        <f t="shared" si="33"/>
        <v>71.44004457572143</v>
      </c>
      <c r="AQ17" s="3">
        <f t="shared" si="34"/>
        <v>71.42812697917186</v>
      </c>
      <c r="AR17" s="3">
        <f t="shared" si="35"/>
        <v>70.42796013178166</v>
      </c>
      <c r="AS17" s="24">
        <f t="shared" si="36"/>
        <v>1.0001668473898668</v>
      </c>
      <c r="AT17" s="28">
        <f t="shared" si="37"/>
        <v>1.0120844439394172</v>
      </c>
      <c r="AU17" s="3">
        <f t="shared" si="38"/>
        <v>72.04382203133686</v>
      </c>
      <c r="AV17" s="3">
        <f t="shared" si="39"/>
        <v>71.04380536286182</v>
      </c>
      <c r="AW17" s="3">
        <f t="shared" si="40"/>
        <v>71.04262119088608</v>
      </c>
      <c r="AX17" s="3">
        <f t="shared" si="41"/>
        <v>70.04260452240736</v>
      </c>
      <c r="AY17" s="24">
        <f t="shared" si="42"/>
        <v>1.000016668472473</v>
      </c>
      <c r="AZ17" s="28">
        <f t="shared" si="43"/>
        <v>1.0012008404482016</v>
      </c>
      <c r="BA17" s="3">
        <f t="shared" si="44"/>
        <v>72.00438021850616</v>
      </c>
      <c r="BB17" s="3">
        <f t="shared" si="45"/>
        <v>71.00437855196813</v>
      </c>
      <c r="BC17" s="3">
        <f t="shared" si="46"/>
        <v>71.00426021025243</v>
      </c>
      <c r="BD17" s="3">
        <f t="shared" si="47"/>
        <v>70.00425854355036</v>
      </c>
      <c r="BE17" s="24">
        <f t="shared" si="48"/>
        <v>1.0000016666847225</v>
      </c>
      <c r="BF17" s="28">
        <f t="shared" si="49"/>
        <v>1.0001200084004473</v>
      </c>
      <c r="BG17" s="3">
        <f t="shared" si="50"/>
        <v>72.00043799476308</v>
      </c>
      <c r="BH17" s="3">
        <f t="shared" si="51"/>
        <v>71.00043782867745</v>
      </c>
      <c r="BI17" s="3">
        <f t="shared" si="52"/>
        <v>71.0004259952603</v>
      </c>
      <c r="BJ17" s="3">
        <f t="shared" si="53"/>
        <v>70.0004258286401</v>
      </c>
      <c r="BK17" s="24">
        <f t="shared" si="54"/>
        <v>1.0000001666668472</v>
      </c>
      <c r="BL17" s="28">
        <f t="shared" si="55"/>
        <v>1.0000120000840007</v>
      </c>
      <c r="BM17" s="45">
        <f t="shared" si="56"/>
        <v>72.00004397395072</v>
      </c>
      <c r="BN17" s="45">
        <f t="shared" si="57"/>
        <v>71.0000439463467</v>
      </c>
      <c r="BO17" s="45">
        <f t="shared" si="58"/>
        <v>71.0000427630125</v>
      </c>
      <c r="BP17" s="45">
        <f t="shared" si="59"/>
        <v>70.00004274541381</v>
      </c>
      <c r="BQ17" s="45">
        <f t="shared" si="60"/>
        <v>1.0000000166666685</v>
      </c>
      <c r="BR17" s="240">
        <f t="shared" si="61"/>
        <v>1.000001200000841</v>
      </c>
    </row>
    <row r="18" spans="1:70" ht="12.75">
      <c r="A18" s="12">
        <f t="shared" si="22"/>
        <v>72</v>
      </c>
      <c r="B18" s="10">
        <f t="shared" si="22"/>
        <v>460</v>
      </c>
      <c r="C18" s="12">
        <f t="shared" si="22"/>
        <v>0</v>
      </c>
      <c r="D18" s="37">
        <v>9</v>
      </c>
      <c r="E18" s="238">
        <f t="shared" si="23"/>
        <v>56.017005955158645</v>
      </c>
      <c r="F18" s="3">
        <f t="shared" si="24"/>
        <v>56.017005955158645</v>
      </c>
      <c r="G18" s="39">
        <f t="shared" si="0"/>
        <v>27296.503098659567</v>
      </c>
      <c r="H18" s="2">
        <f t="shared" si="2"/>
        <v>27296.503098659567</v>
      </c>
      <c r="I18" s="3">
        <f t="shared" si="3"/>
        <v>0</v>
      </c>
      <c r="J18" s="21">
        <f>IF(J$8&lt;&gt;" ",J$8-0.1," ")</f>
        <v>-0.0999999</v>
      </c>
      <c r="K18" s="3">
        <f t="shared" si="25"/>
        <v>72.21955150400834</v>
      </c>
      <c r="L18" s="39">
        <f t="shared" si="4"/>
        <v>35800.1801589969</v>
      </c>
      <c r="M18" s="39">
        <f t="shared" si="5"/>
        <v>35800.1801589969</v>
      </c>
      <c r="N18" s="3">
        <f t="shared" si="1"/>
        <v>0</v>
      </c>
      <c r="O18" s="3">
        <f>IF(O$8&lt;&gt;" ",O$8-0.01," ")</f>
        <v>-0.01</v>
      </c>
      <c r="P18" s="3">
        <f t="shared" si="6"/>
        <v>72.02190550660428</v>
      </c>
      <c r="Q18" s="39">
        <f t="shared" si="7"/>
        <v>35695.36532156908</v>
      </c>
      <c r="R18" s="39">
        <f t="shared" si="8"/>
        <v>35695.36532156908</v>
      </c>
      <c r="S18" s="3">
        <f t="shared" si="9"/>
        <v>0</v>
      </c>
      <c r="T18" s="41">
        <f>IF(T$8&lt;&gt;" ",T$8-0.001," ")</f>
        <v>-0.001</v>
      </c>
      <c r="U18" s="3">
        <f t="shared" si="10"/>
        <v>72.00219005150603</v>
      </c>
      <c r="V18" s="39">
        <f t="shared" si="11"/>
        <v>35684.9112540768</v>
      </c>
      <c r="W18" s="41">
        <f t="shared" si="12"/>
        <v>35684.9112540768</v>
      </c>
      <c r="X18" s="41">
        <f t="shared" si="13"/>
        <v>0</v>
      </c>
      <c r="Y18" s="24">
        <f>IF(Y$8&lt;&gt;" ",Y$8-0.0001," ")</f>
        <v>-0.0001</v>
      </c>
      <c r="Z18" s="3">
        <f t="shared" si="14"/>
        <v>72.00021899605076</v>
      </c>
      <c r="AA18" s="39">
        <f t="shared" si="15"/>
        <v>35683.866120737184</v>
      </c>
      <c r="AB18" s="24">
        <f t="shared" si="16"/>
        <v>35683.866120737184</v>
      </c>
      <c r="AC18" s="24">
        <f t="shared" si="17"/>
        <v>0</v>
      </c>
      <c r="AD18" s="45">
        <f>IF(AD$8&lt;&gt;" ",AD$8-0.00001," ")</f>
        <v>-1E-05</v>
      </c>
      <c r="AE18" s="45">
        <f t="shared" si="18"/>
        <v>72.0000220835614</v>
      </c>
      <c r="AF18" s="39">
        <f t="shared" si="19"/>
        <v>35683.76169668878</v>
      </c>
      <c r="AG18" s="45">
        <f t="shared" si="20"/>
        <v>35683.76169668878</v>
      </c>
      <c r="AH18" s="45">
        <f t="shared" si="21"/>
        <v>0</v>
      </c>
      <c r="AI18" s="31">
        <f t="shared" si="26"/>
        <v>56.017005955158645</v>
      </c>
      <c r="AJ18" s="3">
        <f t="shared" si="27"/>
        <v>55.024161704674476</v>
      </c>
      <c r="AK18" s="3">
        <f t="shared" si="28"/>
        <v>55.42073862827945</v>
      </c>
      <c r="AL18" s="3">
        <f t="shared" si="29"/>
        <v>54.427894377795255</v>
      </c>
      <c r="AM18" s="24">
        <f t="shared" si="30"/>
        <v>0.992844250484193</v>
      </c>
      <c r="AN18" s="28">
        <f t="shared" si="31"/>
        <v>0.5962673268792158</v>
      </c>
      <c r="AO18" s="3">
        <f t="shared" si="32"/>
        <v>72.21955150400834</v>
      </c>
      <c r="AP18" s="3">
        <f t="shared" si="33"/>
        <v>71.21946812558717</v>
      </c>
      <c r="AQ18" s="3">
        <f t="shared" si="34"/>
        <v>71.21353045392325</v>
      </c>
      <c r="AR18" s="3">
        <f t="shared" si="35"/>
        <v>70.213447075503</v>
      </c>
      <c r="AS18" s="24">
        <f t="shared" si="36"/>
        <v>1.000083378420169</v>
      </c>
      <c r="AT18" s="28">
        <f t="shared" si="37"/>
        <v>1.0060210500840843</v>
      </c>
      <c r="AU18" s="3">
        <f t="shared" si="38"/>
        <v>72.02190550660428</v>
      </c>
      <c r="AV18" s="3">
        <f t="shared" si="39"/>
        <v>71.02189717284244</v>
      </c>
      <c r="AW18" s="3">
        <f t="shared" si="40"/>
        <v>71.0213052965712</v>
      </c>
      <c r="AX18" s="3">
        <f t="shared" si="41"/>
        <v>70.02129696277565</v>
      </c>
      <c r="AY18" s="24">
        <f t="shared" si="42"/>
        <v>1.0000083337847536</v>
      </c>
      <c r="AZ18" s="28">
        <f t="shared" si="43"/>
        <v>1.000600210056013</v>
      </c>
      <c r="BA18" s="3">
        <f t="shared" si="44"/>
        <v>72.00219005150603</v>
      </c>
      <c r="BB18" s="3">
        <f t="shared" si="45"/>
        <v>71.00218921829058</v>
      </c>
      <c r="BC18" s="3">
        <f t="shared" si="46"/>
        <v>71.00213004952839</v>
      </c>
      <c r="BD18" s="3">
        <f t="shared" si="47"/>
        <v>70.00212921613867</v>
      </c>
      <c r="BE18" s="24">
        <f t="shared" si="48"/>
        <v>1.0000008333378474</v>
      </c>
      <c r="BF18" s="28">
        <f t="shared" si="49"/>
        <v>1.0000600021000563</v>
      </c>
      <c r="BG18" s="3">
        <f t="shared" si="50"/>
        <v>72.00021899605076</v>
      </c>
      <c r="BH18" s="3">
        <f t="shared" si="51"/>
        <v>71.0002189113308</v>
      </c>
      <c r="BI18" s="3">
        <f t="shared" si="52"/>
        <v>71.00021299464319</v>
      </c>
      <c r="BJ18" s="3">
        <f t="shared" si="53"/>
        <v>70.00021291198786</v>
      </c>
      <c r="BK18" s="24">
        <f t="shared" si="54"/>
        <v>1.0000000833333784</v>
      </c>
      <c r="BL18" s="28">
        <f t="shared" si="55"/>
        <v>1.0000060000210003</v>
      </c>
      <c r="BM18" s="45">
        <f t="shared" si="56"/>
        <v>72.0000220835614</v>
      </c>
      <c r="BN18" s="45">
        <f t="shared" si="57"/>
        <v>71.00002206975928</v>
      </c>
      <c r="BO18" s="45">
        <f t="shared" si="58"/>
        <v>71.0000214780924</v>
      </c>
      <c r="BP18" s="45">
        <f t="shared" si="59"/>
        <v>70.0000214726236</v>
      </c>
      <c r="BQ18" s="45">
        <f t="shared" si="60"/>
        <v>1.0000000083333338</v>
      </c>
      <c r="BR18" s="240">
        <f t="shared" si="61"/>
        <v>1.0000006000002104</v>
      </c>
    </row>
    <row r="19" spans="1:70" ht="12.75">
      <c r="A19" s="12">
        <f t="shared" si="22"/>
        <v>72</v>
      </c>
      <c r="B19" s="10">
        <f t="shared" si="22"/>
        <v>460</v>
      </c>
      <c r="C19" s="12">
        <f t="shared" si="22"/>
        <v>0</v>
      </c>
      <c r="D19" s="37">
        <v>10</v>
      </c>
      <c r="E19" s="238">
        <f t="shared" si="23"/>
        <v>54.61730625755939</v>
      </c>
      <c r="F19" s="3">
        <f t="shared" si="24"/>
        <v>54.61730625755939</v>
      </c>
      <c r="G19" s="39">
        <f t="shared" si="0"/>
        <v>26571.13091665269</v>
      </c>
      <c r="H19" s="2">
        <f t="shared" si="2"/>
        <v>26571.13091665269</v>
      </c>
      <c r="I19" s="3">
        <f t="shared" si="3"/>
        <v>0</v>
      </c>
      <c r="J19" s="21">
        <f>IF(J$8&lt;&gt;" ",J$8+0.000000001," ")</f>
        <v>1.0099999999999999E-07</v>
      </c>
      <c r="K19" s="3">
        <f t="shared" si="25"/>
        <v>71.99999956367996</v>
      </c>
      <c r="L19" s="39">
        <f t="shared" si="4"/>
        <v>35683.74978375646</v>
      </c>
      <c r="M19" s="39">
        <f t="shared" si="5"/>
        <v>35683.74978375646</v>
      </c>
      <c r="N19" s="3">
        <f t="shared" si="1"/>
        <v>0</v>
      </c>
      <c r="O19" s="3">
        <f>IF(O$8&lt;&gt;" ",O$8+0.00000001," ")</f>
        <v>1E-08</v>
      </c>
      <c r="P19" s="3">
        <f t="shared" si="6"/>
        <v>71.9999999568</v>
      </c>
      <c r="Q19" s="39">
        <f t="shared" si="7"/>
        <v>35683.74997858975</v>
      </c>
      <c r="R19" s="39">
        <f t="shared" si="8"/>
        <v>35683.74997858975</v>
      </c>
      <c r="S19" s="3">
        <f t="shared" si="9"/>
        <v>0</v>
      </c>
      <c r="T19" s="41">
        <f>IF(T$8&lt;&gt;" ",T$8+0.00000001," ")</f>
        <v>1E-08</v>
      </c>
      <c r="U19" s="3">
        <f t="shared" si="10"/>
        <v>71.9999999568</v>
      </c>
      <c r="V19" s="39">
        <f t="shared" si="11"/>
        <v>35683.74997858975</v>
      </c>
      <c r="W19" s="41">
        <f t="shared" si="12"/>
        <v>35683.74997858975</v>
      </c>
      <c r="X19" s="41">
        <f t="shared" si="13"/>
        <v>0</v>
      </c>
      <c r="Y19" s="24">
        <f>IF(Y$8&lt;&gt;" ",Y$8+0.00000001," ")</f>
        <v>1E-08</v>
      </c>
      <c r="Z19" s="3">
        <f t="shared" si="14"/>
        <v>71.9999999568</v>
      </c>
      <c r="AA19" s="39">
        <f t="shared" si="15"/>
        <v>35683.74997858975</v>
      </c>
      <c r="AB19" s="24">
        <f t="shared" si="16"/>
        <v>35683.74997858975</v>
      </c>
      <c r="AC19" s="24">
        <f t="shared" si="17"/>
        <v>0</v>
      </c>
      <c r="AD19" s="45">
        <f>IF(AD$8&lt;&gt;" ",AD$8+0.00000001," ")</f>
        <v>1E-08</v>
      </c>
      <c r="AE19" s="45">
        <f t="shared" si="18"/>
        <v>71.9999999568</v>
      </c>
      <c r="AF19" s="39">
        <f t="shared" si="19"/>
        <v>35683.74997858975</v>
      </c>
      <c r="AG19" s="45">
        <f t="shared" si="20"/>
        <v>35683.74997858975</v>
      </c>
      <c r="AH19" s="45">
        <f t="shared" si="21"/>
        <v>0</v>
      </c>
      <c r="AI19" s="31">
        <f t="shared" si="26"/>
        <v>54.61730625755939</v>
      </c>
      <c r="AJ19" s="3">
        <f t="shared" si="27"/>
        <v>53.62521731411241</v>
      </c>
      <c r="AK19" s="3">
        <f t="shared" si="28"/>
        <v>54.05283232750561</v>
      </c>
      <c r="AL19" s="3">
        <f t="shared" si="29"/>
        <v>53.06074338405861</v>
      </c>
      <c r="AM19" s="24">
        <f t="shared" si="30"/>
        <v>0.992088943446991</v>
      </c>
      <c r="AN19" s="28">
        <f t="shared" si="31"/>
        <v>0.5644739300537772</v>
      </c>
      <c r="AO19" s="3">
        <f t="shared" si="32"/>
        <v>71.99999956367996</v>
      </c>
      <c r="AP19" s="3">
        <f t="shared" si="33"/>
        <v>70.99999956973997</v>
      </c>
      <c r="AQ19" s="3">
        <f t="shared" si="34"/>
        <v>70.9999995757158</v>
      </c>
      <c r="AR19" s="3">
        <f t="shared" si="35"/>
        <v>69.99999958169163</v>
      </c>
      <c r="AS19" s="24">
        <f t="shared" si="36"/>
        <v>0.9999999999158333</v>
      </c>
      <c r="AT19" s="28">
        <f t="shared" si="37"/>
        <v>0.9999999939399995</v>
      </c>
      <c r="AU19" s="3">
        <f t="shared" si="38"/>
        <v>71.9999999568</v>
      </c>
      <c r="AV19" s="3">
        <f t="shared" si="39"/>
        <v>70.9999999574</v>
      </c>
      <c r="AW19" s="3">
        <f t="shared" si="40"/>
        <v>70.99999995799168</v>
      </c>
      <c r="AX19" s="3">
        <f t="shared" si="41"/>
        <v>69.99999995858333</v>
      </c>
      <c r="AY19" s="24">
        <f t="shared" si="42"/>
        <v>0.9999999999916667</v>
      </c>
      <c r="AZ19" s="28">
        <f t="shared" si="43"/>
        <v>0.9999999994</v>
      </c>
      <c r="BA19" s="3">
        <f t="shared" si="44"/>
        <v>71.9999999568</v>
      </c>
      <c r="BB19" s="3">
        <f t="shared" si="45"/>
        <v>70.9999999574</v>
      </c>
      <c r="BC19" s="3">
        <f t="shared" si="46"/>
        <v>70.99999995799168</v>
      </c>
      <c r="BD19" s="3">
        <f t="shared" si="47"/>
        <v>69.99999995858333</v>
      </c>
      <c r="BE19" s="24">
        <f t="shared" si="48"/>
        <v>0.9999999999916667</v>
      </c>
      <c r="BF19" s="28">
        <f t="shared" si="49"/>
        <v>0.9999999994</v>
      </c>
      <c r="BG19" s="3">
        <f t="shared" si="50"/>
        <v>71.9999999568</v>
      </c>
      <c r="BH19" s="3">
        <f t="shared" si="51"/>
        <v>70.9999999574</v>
      </c>
      <c r="BI19" s="3">
        <f t="shared" si="52"/>
        <v>70.99999995799168</v>
      </c>
      <c r="BJ19" s="3">
        <f t="shared" si="53"/>
        <v>69.99999995858333</v>
      </c>
      <c r="BK19" s="24">
        <f t="shared" si="54"/>
        <v>0.9999999999916667</v>
      </c>
      <c r="BL19" s="28">
        <f t="shared" si="55"/>
        <v>0.9999999994</v>
      </c>
      <c r="BM19" s="45">
        <f t="shared" si="56"/>
        <v>71.9999999568</v>
      </c>
      <c r="BN19" s="45">
        <f t="shared" si="57"/>
        <v>70.9999999574</v>
      </c>
      <c r="BO19" s="45">
        <f t="shared" si="58"/>
        <v>70.99999995799168</v>
      </c>
      <c r="BP19" s="45">
        <f t="shared" si="59"/>
        <v>69.99999995858333</v>
      </c>
      <c r="BQ19" s="45">
        <f t="shared" si="60"/>
        <v>0.9999999999916667</v>
      </c>
      <c r="BR19" s="240">
        <f t="shared" si="61"/>
        <v>0.9999999994</v>
      </c>
    </row>
    <row r="20" spans="1:70" ht="12.75">
      <c r="A20" s="12">
        <f t="shared" si="22"/>
        <v>72</v>
      </c>
      <c r="B20" s="10">
        <f t="shared" si="22"/>
        <v>460</v>
      </c>
      <c r="C20" s="12">
        <f t="shared" si="22"/>
        <v>0</v>
      </c>
      <c r="D20" s="37">
        <v>11</v>
      </c>
      <c r="E20" s="238">
        <f t="shared" si="23"/>
        <v>53.27771082570741</v>
      </c>
      <c r="F20" s="3">
        <f t="shared" si="24"/>
        <v>53.27771082570741</v>
      </c>
      <c r="G20" s="39">
        <f t="shared" si="0"/>
        <v>25878.432423348047</v>
      </c>
      <c r="H20" s="2">
        <f t="shared" si="2"/>
        <v>25878.432423348047</v>
      </c>
      <c r="I20" s="3">
        <f t="shared" si="3"/>
        <v>0</v>
      </c>
      <c r="J20" s="21">
        <f>IF(J$8&lt;&gt;" ",J$8+0.1," ")</f>
        <v>0.10000010000000001</v>
      </c>
      <c r="K20" s="3">
        <f t="shared" si="25"/>
        <v>71.7815491458254</v>
      </c>
      <c r="L20" s="39">
        <f t="shared" si="4"/>
        <v>35567.93378730682</v>
      </c>
      <c r="M20" s="39">
        <f t="shared" si="5"/>
        <v>35567.93378730682</v>
      </c>
      <c r="N20" s="3">
        <f t="shared" si="1"/>
        <v>0</v>
      </c>
      <c r="O20" s="3">
        <f>IF(O$8&lt;&gt;" ",O$8+0.01," ")</f>
        <v>0.01</v>
      </c>
      <c r="P20" s="3">
        <f t="shared" si="6"/>
        <v>71.97810550379432</v>
      </c>
      <c r="Q20" s="39">
        <f t="shared" si="7"/>
        <v>35672.140819989356</v>
      </c>
      <c r="R20" s="39">
        <f t="shared" si="8"/>
        <v>35672.140819989356</v>
      </c>
      <c r="S20" s="3">
        <f t="shared" si="9"/>
        <v>0</v>
      </c>
      <c r="T20" s="41">
        <f>IF(T$8&lt;&gt;" ",T$8+0.001," ")</f>
        <v>0.001</v>
      </c>
      <c r="U20" s="3">
        <f t="shared" si="10"/>
        <v>71.9978100621141</v>
      </c>
      <c r="V20" s="39">
        <f t="shared" si="11"/>
        <v>35682.588808956214</v>
      </c>
      <c r="W20" s="41">
        <f t="shared" si="12"/>
        <v>35682.588808956214</v>
      </c>
      <c r="X20" s="41">
        <f t="shared" si="13"/>
        <v>0</v>
      </c>
      <c r="Y20" s="24">
        <f>IF(Y$8&lt;&gt;" ",Y$8+0.0001," ")</f>
        <v>0.0001</v>
      </c>
      <c r="Z20" s="3">
        <f t="shared" si="14"/>
        <v>71.99978098462857</v>
      </c>
      <c r="AA20" s="39">
        <f t="shared" si="15"/>
        <v>35683.633870482976</v>
      </c>
      <c r="AB20" s="24">
        <f t="shared" si="16"/>
        <v>35683.633870482976</v>
      </c>
      <c r="AC20" s="24">
        <f t="shared" si="17"/>
        <v>0</v>
      </c>
      <c r="AD20" s="45">
        <f>IF(AD$8&lt;&gt;" ",AD$8+0.00001," ")</f>
        <v>1E-05</v>
      </c>
      <c r="AE20" s="45">
        <f t="shared" si="18"/>
        <v>71.99997846267486</v>
      </c>
      <c r="AF20" s="39">
        <f t="shared" si="19"/>
        <v>35683.738554580974</v>
      </c>
      <c r="AG20" s="45">
        <f t="shared" si="20"/>
        <v>35683.738554580974</v>
      </c>
      <c r="AH20" s="45">
        <f t="shared" si="21"/>
        <v>0</v>
      </c>
      <c r="AI20" s="31">
        <f t="shared" si="26"/>
        <v>53.27771082570741</v>
      </c>
      <c r="AJ20" s="3">
        <f t="shared" si="27"/>
        <v>52.28636978702098</v>
      </c>
      <c r="AK20" s="3">
        <f t="shared" si="28"/>
        <v>52.74306998961863</v>
      </c>
      <c r="AL20" s="3">
        <f t="shared" si="29"/>
        <v>51.75172895093216</v>
      </c>
      <c r="AM20" s="24">
        <f t="shared" si="30"/>
        <v>0.9913410386864557</v>
      </c>
      <c r="AN20" s="28">
        <f t="shared" si="31"/>
        <v>0.5346408360887915</v>
      </c>
      <c r="AO20" s="3">
        <f t="shared" si="32"/>
        <v>71.7815491458254</v>
      </c>
      <c r="AP20" s="3">
        <f t="shared" si="33"/>
        <v>70.78163243413279</v>
      </c>
      <c r="AQ20" s="3">
        <f t="shared" si="34"/>
        <v>70.78752820765621</v>
      </c>
      <c r="AR20" s="3">
        <f t="shared" si="35"/>
        <v>69.78761149596629</v>
      </c>
      <c r="AS20" s="24">
        <f t="shared" si="36"/>
        <v>0.9999167116909901</v>
      </c>
      <c r="AT20" s="28">
        <f t="shared" si="37"/>
        <v>0.9940209381675811</v>
      </c>
      <c r="AU20" s="3">
        <f t="shared" si="38"/>
        <v>71.97810550379432</v>
      </c>
      <c r="AV20" s="3">
        <f t="shared" si="39"/>
        <v>70.978113836696</v>
      </c>
      <c r="AW20" s="3">
        <f t="shared" si="40"/>
        <v>70.97870529387</v>
      </c>
      <c r="AX20" s="3">
        <f t="shared" si="41"/>
        <v>69.97871362677772</v>
      </c>
      <c r="AY20" s="24">
        <f t="shared" si="42"/>
        <v>0.9999916671180241</v>
      </c>
      <c r="AZ20" s="28">
        <f t="shared" si="43"/>
        <v>0.9994002099440129</v>
      </c>
      <c r="BA20" s="3">
        <f t="shared" si="44"/>
        <v>71.9978100621141</v>
      </c>
      <c r="BB20" s="3">
        <f t="shared" si="45"/>
        <v>70.9978108951559</v>
      </c>
      <c r="BC20" s="3">
        <f t="shared" si="46"/>
        <v>70.99787005972715</v>
      </c>
      <c r="BD20" s="3">
        <f t="shared" si="47"/>
        <v>69.9978708931277</v>
      </c>
      <c r="BE20" s="24">
        <f t="shared" si="48"/>
        <v>0.9999991666711806</v>
      </c>
      <c r="BF20" s="28">
        <f t="shared" si="49"/>
        <v>0.9999400020999435</v>
      </c>
      <c r="BG20" s="3">
        <f t="shared" si="50"/>
        <v>71.99978098462857</v>
      </c>
      <c r="BH20" s="3">
        <f t="shared" si="51"/>
        <v>70.99978106670756</v>
      </c>
      <c r="BI20" s="3">
        <f t="shared" si="52"/>
        <v>70.99978698335326</v>
      </c>
      <c r="BJ20" s="3">
        <f t="shared" si="53"/>
        <v>69.9997870646991</v>
      </c>
      <c r="BK20" s="24">
        <f t="shared" si="54"/>
        <v>0.9999999166667118</v>
      </c>
      <c r="BL20" s="28">
        <f t="shared" si="55"/>
        <v>0.9999940000209989</v>
      </c>
      <c r="BM20" s="45">
        <f t="shared" si="56"/>
        <v>71.99997846267486</v>
      </c>
      <c r="BN20" s="45">
        <f t="shared" si="57"/>
        <v>70.99997847647722</v>
      </c>
      <c r="BO20" s="45">
        <f t="shared" si="58"/>
        <v>70.99997906814367</v>
      </c>
      <c r="BP20" s="45">
        <f t="shared" si="59"/>
        <v>69.99997907361268</v>
      </c>
      <c r="BQ20" s="45">
        <f t="shared" si="60"/>
        <v>0.9999999916666672</v>
      </c>
      <c r="BR20" s="240">
        <f t="shared" si="61"/>
        <v>0.9999994000002098</v>
      </c>
    </row>
    <row r="21" spans="1:70" ht="12.75">
      <c r="A21" s="12">
        <f t="shared" si="22"/>
        <v>72</v>
      </c>
      <c r="B21" s="10">
        <f t="shared" si="22"/>
        <v>460</v>
      </c>
      <c r="C21" s="12">
        <f t="shared" si="22"/>
        <v>0</v>
      </c>
      <c r="D21" s="37">
        <v>12</v>
      </c>
      <c r="E21" s="238">
        <f t="shared" si="23"/>
        <v>51.994904117312664</v>
      </c>
      <c r="F21" s="3">
        <f t="shared" si="24"/>
        <v>51.994904117312664</v>
      </c>
      <c r="G21" s="39">
        <f t="shared" si="0"/>
        <v>25216.531430882183</v>
      </c>
      <c r="H21" s="2">
        <f t="shared" si="2"/>
        <v>25216.531430882183</v>
      </c>
      <c r="I21" s="3">
        <f t="shared" si="3"/>
        <v>0</v>
      </c>
      <c r="J21" s="21">
        <f>IF(J$8&lt;&gt;" ",J$8+0.2," ")</f>
        <v>0.20000010000000001</v>
      </c>
      <c r="K21" s="3">
        <f t="shared" si="25"/>
        <v>71.56419254461142</v>
      </c>
      <c r="L21" s="39">
        <f t="shared" si="4"/>
        <v>35452.72776694032</v>
      </c>
      <c r="M21" s="39">
        <f t="shared" si="5"/>
        <v>35452.72776694032</v>
      </c>
      <c r="N21" s="3">
        <f t="shared" si="1"/>
        <v>0</v>
      </c>
      <c r="O21" s="3">
        <f>IF(O$8&lt;&gt;" ",O$8+0.02," ")</f>
        <v>0.02</v>
      </c>
      <c r="P21" s="3">
        <f t="shared" si="6"/>
        <v>71.95622201233412</v>
      </c>
      <c r="Q21" s="39">
        <f t="shared" si="7"/>
        <v>35660.53777807565</v>
      </c>
      <c r="R21" s="39">
        <f t="shared" si="8"/>
        <v>35660.53777807565</v>
      </c>
      <c r="S21" s="3">
        <f t="shared" si="9"/>
        <v>0</v>
      </c>
      <c r="T21" s="41">
        <f>IF(T$8&lt;&gt;" ",T$8+0.002," ")</f>
        <v>0.002</v>
      </c>
      <c r="U21" s="3">
        <f t="shared" si="10"/>
        <v>71.99562021838996</v>
      </c>
      <c r="V21" s="39">
        <f t="shared" si="11"/>
        <v>35681.42767199373</v>
      </c>
      <c r="W21" s="41">
        <f t="shared" si="12"/>
        <v>35681.42767199373</v>
      </c>
      <c r="X21" s="41">
        <f t="shared" si="13"/>
        <v>0</v>
      </c>
      <c r="Y21" s="24">
        <f>IF(Y$8&lt;&gt;" ",Y$8+0.0002," ")</f>
        <v>0.0002</v>
      </c>
      <c r="Z21" s="3">
        <f t="shared" si="14"/>
        <v>71.99956198857201</v>
      </c>
      <c r="AA21" s="39">
        <f t="shared" si="15"/>
        <v>35683.517749958475</v>
      </c>
      <c r="AB21" s="24">
        <f t="shared" si="16"/>
        <v>35683.517749958475</v>
      </c>
      <c r="AC21" s="24">
        <f t="shared" si="17"/>
        <v>0</v>
      </c>
      <c r="AD21" s="45">
        <f>IF(AD$8&lt;&gt;" ",AD$8+0.00002," ")</f>
        <v>2E-05</v>
      </c>
      <c r="AE21" s="45">
        <f t="shared" si="18"/>
        <v>71.99995607270543</v>
      </c>
      <c r="AF21" s="39">
        <f t="shared" si="19"/>
        <v>35683.72671694665</v>
      </c>
      <c r="AG21" s="45">
        <f t="shared" si="20"/>
        <v>35683.72671694665</v>
      </c>
      <c r="AH21" s="45">
        <f t="shared" si="21"/>
        <v>0</v>
      </c>
      <c r="AI21" s="31">
        <f t="shared" si="26"/>
        <v>51.994904117312664</v>
      </c>
      <c r="AJ21" s="3">
        <f t="shared" si="27"/>
        <v>51.004303719369695</v>
      </c>
      <c r="AK21" s="3">
        <f t="shared" si="28"/>
        <v>51.48827299613536</v>
      </c>
      <c r="AL21" s="3">
        <f t="shared" si="29"/>
        <v>50.497672598192345</v>
      </c>
      <c r="AM21" s="24">
        <f t="shared" si="30"/>
        <v>0.9906003979430033</v>
      </c>
      <c r="AN21" s="28">
        <f t="shared" si="31"/>
        <v>0.5066311211773207</v>
      </c>
      <c r="AO21" s="3">
        <f t="shared" si="32"/>
        <v>71.56419254461142</v>
      </c>
      <c r="AP21" s="3">
        <f t="shared" si="33"/>
        <v>70.56435903105478</v>
      </c>
      <c r="AQ21" s="3">
        <f t="shared" si="34"/>
        <v>70.57610899651884</v>
      </c>
      <c r="AR21" s="3">
        <f t="shared" si="35"/>
        <v>69.57627548296453</v>
      </c>
      <c r="AS21" s="24">
        <f t="shared" si="36"/>
        <v>0.9998335135553501</v>
      </c>
      <c r="AT21" s="28">
        <f t="shared" si="37"/>
        <v>0.9880835480912982</v>
      </c>
      <c r="AU21" s="3">
        <f t="shared" si="38"/>
        <v>71.95622201233412</v>
      </c>
      <c r="AV21" s="3">
        <f t="shared" si="39"/>
        <v>70.956238677202</v>
      </c>
      <c r="AW21" s="3">
        <f t="shared" si="40"/>
        <v>70.95742117278843</v>
      </c>
      <c r="AX21" s="3">
        <f t="shared" si="41"/>
        <v>69.95743783764931</v>
      </c>
      <c r="AY21" s="24">
        <f t="shared" si="42"/>
        <v>0.9999833351386381</v>
      </c>
      <c r="AZ21" s="28">
        <f t="shared" si="43"/>
        <v>0.9988008395522018</v>
      </c>
      <c r="BA21" s="3">
        <f t="shared" si="44"/>
        <v>71.99562021838996</v>
      </c>
      <c r="BB21" s="3">
        <f t="shared" si="45"/>
        <v>70.99562188496607</v>
      </c>
      <c r="BC21" s="3">
        <f t="shared" si="46"/>
        <v>70.99574020991791</v>
      </c>
      <c r="BD21" s="3">
        <f t="shared" si="47"/>
        <v>69.99574187659671</v>
      </c>
      <c r="BE21" s="24">
        <f t="shared" si="48"/>
        <v>0.9999983333513885</v>
      </c>
      <c r="BF21" s="28">
        <f t="shared" si="49"/>
        <v>0.9998800083995524</v>
      </c>
      <c r="BG21" s="3">
        <f t="shared" si="50"/>
        <v>71.99956198857201</v>
      </c>
      <c r="BH21" s="3">
        <f t="shared" si="51"/>
        <v>70.99956215675034</v>
      </c>
      <c r="BI21" s="3">
        <f t="shared" si="52"/>
        <v>70.99957398999985</v>
      </c>
      <c r="BJ21" s="3">
        <f t="shared" si="53"/>
        <v>69.99957415671106</v>
      </c>
      <c r="BK21" s="24">
        <f t="shared" si="54"/>
        <v>0.9999998333335138</v>
      </c>
      <c r="BL21" s="28">
        <f t="shared" si="55"/>
        <v>0.9999880000839994</v>
      </c>
      <c r="BM21" s="45">
        <f t="shared" si="56"/>
        <v>71.99995607270543</v>
      </c>
      <c r="BN21" s="45">
        <f t="shared" si="57"/>
        <v>70.99995608698771</v>
      </c>
      <c r="BO21" s="45">
        <f t="shared" si="58"/>
        <v>70.99995727032021</v>
      </c>
      <c r="BP21" s="45">
        <f t="shared" si="59"/>
        <v>69.99995729458117</v>
      </c>
      <c r="BQ21" s="45">
        <f t="shared" si="60"/>
        <v>0.9999999833333352</v>
      </c>
      <c r="BR21" s="240">
        <f t="shared" si="61"/>
        <v>0.9999988000008393</v>
      </c>
    </row>
    <row r="22" spans="1:70" ht="12.75">
      <c r="A22" s="12">
        <f t="shared" si="22"/>
        <v>72</v>
      </c>
      <c r="B22" s="10">
        <f t="shared" si="22"/>
        <v>460</v>
      </c>
      <c r="C22" s="12">
        <f t="shared" si="22"/>
        <v>0</v>
      </c>
      <c r="D22" s="37">
        <v>13</v>
      </c>
      <c r="E22" s="238">
        <f t="shared" si="23"/>
        <v>50.765788204230944</v>
      </c>
      <c r="F22" s="3">
        <f t="shared" si="24"/>
        <v>50.765788204230944</v>
      </c>
      <c r="G22" s="39">
        <f t="shared" si="0"/>
        <v>24583.67919865295</v>
      </c>
      <c r="H22" s="2">
        <f t="shared" si="2"/>
        <v>24583.67919865295</v>
      </c>
      <c r="I22" s="3">
        <f t="shared" si="3"/>
        <v>0</v>
      </c>
      <c r="J22" s="21">
        <f>IF(J$8&lt;&gt;" ",J$8+0.3," ")</f>
        <v>0.3000001</v>
      </c>
      <c r="K22" s="3">
        <f t="shared" si="25"/>
        <v>71.34792297713761</v>
      </c>
      <c r="L22" s="39">
        <f t="shared" si="4"/>
        <v>35338.12775278949</v>
      </c>
      <c r="M22" s="39">
        <f t="shared" si="5"/>
        <v>35338.12775278949</v>
      </c>
      <c r="N22" s="3">
        <f t="shared" si="1"/>
        <v>0</v>
      </c>
      <c r="O22" s="3">
        <f>IF(O$8&lt;&gt;" ",O$8+0.03," ")</f>
        <v>0.03</v>
      </c>
      <c r="P22" s="3">
        <f t="shared" si="6"/>
        <v>71.93434951695718</v>
      </c>
      <c r="Q22" s="39">
        <f t="shared" si="7"/>
        <v>35648.94086941403</v>
      </c>
      <c r="R22" s="39">
        <f t="shared" si="8"/>
        <v>35648.94086941403</v>
      </c>
      <c r="S22" s="3">
        <f t="shared" si="9"/>
        <v>0</v>
      </c>
      <c r="T22" s="41">
        <f>IF(T$8&lt;&gt;" ",T$8+0.003," ")</f>
        <v>0.003</v>
      </c>
      <c r="U22" s="3">
        <f t="shared" si="10"/>
        <v>71.99343049648486</v>
      </c>
      <c r="V22" s="39">
        <f t="shared" si="11"/>
        <v>35680.26660183403</v>
      </c>
      <c r="W22" s="41">
        <f t="shared" si="12"/>
        <v>35680.26660183403</v>
      </c>
      <c r="X22" s="41">
        <f t="shared" si="13"/>
        <v>0</v>
      </c>
      <c r="Y22" s="24">
        <f>IF(Y$8&lt;&gt;" ",Y$8+0.0003," ")</f>
        <v>0.0003</v>
      </c>
      <c r="Z22" s="3">
        <f t="shared" si="14"/>
        <v>71.99934298607344</v>
      </c>
      <c r="AA22" s="39">
        <f t="shared" si="15"/>
        <v>35683.40162657833</v>
      </c>
      <c r="AB22" s="24">
        <f t="shared" si="16"/>
        <v>35683.40162657833</v>
      </c>
      <c r="AC22" s="24">
        <f t="shared" si="17"/>
        <v>0</v>
      </c>
      <c r="AD22" s="45">
        <f>IF(AD$8&lt;&gt;" ",AD$8+0.00003," ")</f>
        <v>3E-05</v>
      </c>
      <c r="AE22" s="45">
        <f t="shared" si="18"/>
        <v>71.99993441104851</v>
      </c>
      <c r="AF22" s="39">
        <f t="shared" si="19"/>
        <v>35683.715214337164</v>
      </c>
      <c r="AG22" s="45">
        <f t="shared" si="20"/>
        <v>35683.715214337164</v>
      </c>
      <c r="AH22" s="45">
        <f t="shared" si="21"/>
        <v>0</v>
      </c>
      <c r="AI22" s="31">
        <f t="shared" si="26"/>
        <v>50.765788204230944</v>
      </c>
      <c r="AJ22" s="3">
        <f t="shared" si="27"/>
        <v>49.775921317485896</v>
      </c>
      <c r="AK22" s="3">
        <f t="shared" si="28"/>
        <v>50.28546967679782</v>
      </c>
      <c r="AL22" s="3">
        <f t="shared" si="29"/>
        <v>49.295602790052726</v>
      </c>
      <c r="AM22" s="24">
        <f t="shared" si="30"/>
        <v>0.9898668867450781</v>
      </c>
      <c r="AN22" s="28">
        <f t="shared" si="31"/>
        <v>0.48031852743314046</v>
      </c>
      <c r="AO22" s="3">
        <f t="shared" si="32"/>
        <v>71.34792297713761</v>
      </c>
      <c r="AP22" s="3">
        <f t="shared" si="33"/>
        <v>70.34817257181474</v>
      </c>
      <c r="AQ22" s="3">
        <f t="shared" si="34"/>
        <v>70.36573548486768</v>
      </c>
      <c r="AR22" s="3">
        <f t="shared" si="35"/>
        <v>69.36598507954469</v>
      </c>
      <c r="AS22" s="24">
        <f t="shared" si="36"/>
        <v>0.999750405322535</v>
      </c>
      <c r="AT22" s="28">
        <f t="shared" si="37"/>
        <v>0.9821874922696008</v>
      </c>
      <c r="AU22" s="3">
        <f t="shared" si="38"/>
        <v>71.93434951695718</v>
      </c>
      <c r="AV22" s="3">
        <f t="shared" si="39"/>
        <v>70.93437451290032</v>
      </c>
      <c r="AW22" s="3">
        <f t="shared" si="40"/>
        <v>70.93614762847295</v>
      </c>
      <c r="AX22" s="3">
        <f t="shared" si="41"/>
        <v>69.9361726244166</v>
      </c>
      <c r="AY22" s="24">
        <f t="shared" si="42"/>
        <v>0.9999750040616538</v>
      </c>
      <c r="AZ22" s="28">
        <f t="shared" si="43"/>
        <v>0.9982018884890204</v>
      </c>
      <c r="BA22" s="3">
        <f t="shared" si="44"/>
        <v>71.99343049648486</v>
      </c>
      <c r="BB22" s="3">
        <f t="shared" si="45"/>
        <v>70.9934329963774</v>
      </c>
      <c r="BC22" s="3">
        <f t="shared" si="46"/>
        <v>70.99361047751954</v>
      </c>
      <c r="BD22" s="3">
        <f t="shared" si="47"/>
        <v>69.99361297744318</v>
      </c>
      <c r="BE22" s="24">
        <f t="shared" si="48"/>
        <v>0.9999975000406242</v>
      </c>
      <c r="BF22" s="28">
        <f t="shared" si="49"/>
        <v>0.999820018898488</v>
      </c>
      <c r="BG22" s="3">
        <f t="shared" si="50"/>
        <v>71.99934298607344</v>
      </c>
      <c r="BH22" s="3">
        <f t="shared" si="51"/>
        <v>70.99934323771016</v>
      </c>
      <c r="BI22" s="3">
        <f t="shared" si="52"/>
        <v>70.99936098752153</v>
      </c>
      <c r="BJ22" s="3">
        <f t="shared" si="53"/>
        <v>69.99936123784452</v>
      </c>
      <c r="BK22" s="24">
        <f t="shared" si="54"/>
        <v>0.9999997500004062</v>
      </c>
      <c r="BL22" s="28">
        <f t="shared" si="55"/>
        <v>0.999982000188999</v>
      </c>
      <c r="BM22" s="45">
        <f t="shared" si="56"/>
        <v>71.99993441104851</v>
      </c>
      <c r="BN22" s="45">
        <f t="shared" si="57"/>
        <v>70.9999344435745</v>
      </c>
      <c r="BO22" s="45">
        <f t="shared" si="58"/>
        <v>70.9999362185726</v>
      </c>
      <c r="BP22" s="45">
        <f t="shared" si="59"/>
        <v>69.99993624386214</v>
      </c>
      <c r="BQ22" s="45">
        <f t="shared" si="60"/>
        <v>0.9999999750000041</v>
      </c>
      <c r="BR22" s="240">
        <f t="shared" si="61"/>
        <v>0.9999982000018904</v>
      </c>
    </row>
    <row r="23" spans="1:70" ht="12.75">
      <c r="A23" s="12">
        <f t="shared" si="22"/>
        <v>72</v>
      </c>
      <c r="B23" s="10">
        <f t="shared" si="22"/>
        <v>460</v>
      </c>
      <c r="C23" s="12">
        <f t="shared" si="22"/>
        <v>0</v>
      </c>
      <c r="D23" s="37">
        <v>14</v>
      </c>
      <c r="E23" s="238">
        <f t="shared" si="23"/>
        <v>49.587466411490375</v>
      </c>
      <c r="F23" s="3">
        <f t="shared" si="24"/>
        <v>49.587466411490375</v>
      </c>
      <c r="G23" s="39">
        <f t="shared" si="0"/>
        <v>23978.244560910553</v>
      </c>
      <c r="H23" s="2">
        <f t="shared" si="2"/>
        <v>23978.244560910553</v>
      </c>
      <c r="I23" s="3">
        <f t="shared" si="3"/>
        <v>0</v>
      </c>
      <c r="J23" s="21">
        <f>IF(J$8&lt;&gt;" ",J$8+0.4," ")</f>
        <v>0.4000001</v>
      </c>
      <c r="K23" s="3">
        <f t="shared" si="25"/>
        <v>71.13273349665124</v>
      </c>
      <c r="L23" s="39">
        <f t="shared" si="4"/>
        <v>35224.129707060536</v>
      </c>
      <c r="M23" s="39">
        <f t="shared" si="5"/>
        <v>35224.129707060536</v>
      </c>
      <c r="N23" s="3">
        <f t="shared" si="1"/>
        <v>0</v>
      </c>
      <c r="O23" s="3">
        <f>IF(O$8&lt;&gt;" ",O$8+0.04," ")</f>
        <v>0.04</v>
      </c>
      <c r="P23" s="3">
        <f t="shared" si="6"/>
        <v>71.91248801100224</v>
      </c>
      <c r="Q23" s="39">
        <f t="shared" si="7"/>
        <v>35637.350090080814</v>
      </c>
      <c r="R23" s="39">
        <f t="shared" si="8"/>
        <v>35637.350090080814</v>
      </c>
      <c r="S23" s="3">
        <f t="shared" si="9"/>
        <v>0</v>
      </c>
      <c r="T23" s="41">
        <f>IF(T$8&lt;&gt;" ",T$8+0.004," ")</f>
        <v>0.004</v>
      </c>
      <c r="U23" s="3">
        <f t="shared" si="10"/>
        <v>71.99124088060412</v>
      </c>
      <c r="V23" s="39">
        <f t="shared" si="11"/>
        <v>35679.105591210704</v>
      </c>
      <c r="W23" s="41">
        <f t="shared" si="12"/>
        <v>35679.105591210704</v>
      </c>
      <c r="X23" s="41">
        <f t="shared" si="13"/>
        <v>0</v>
      </c>
      <c r="Y23" s="24">
        <f>IF(Y$8&lt;&gt;" ",Y$8+0.0004," ")</f>
        <v>0.0004</v>
      </c>
      <c r="Z23" s="3">
        <f t="shared" si="14"/>
        <v>71.99912398845686</v>
      </c>
      <c r="AA23" s="39">
        <f t="shared" si="15"/>
        <v>35683.28550555156</v>
      </c>
      <c r="AB23" s="24">
        <f t="shared" si="16"/>
        <v>35683.28550555156</v>
      </c>
      <c r="AC23" s="24">
        <f t="shared" si="17"/>
        <v>0</v>
      </c>
      <c r="AD23" s="45">
        <f>IF(AD$8&lt;&gt;" ",AD$8+0.00004," ")</f>
        <v>4E-05</v>
      </c>
      <c r="AE23" s="45">
        <f t="shared" si="18"/>
        <v>71.99991243853592</v>
      </c>
      <c r="AF23" s="39">
        <f t="shared" si="19"/>
        <v>35683.70356873513</v>
      </c>
      <c r="AG23" s="45">
        <f t="shared" si="20"/>
        <v>35683.70356873513</v>
      </c>
      <c r="AH23" s="45">
        <f t="shared" si="21"/>
        <v>0</v>
      </c>
      <c r="AI23" s="31">
        <f t="shared" si="26"/>
        <v>49.587466411490375</v>
      </c>
      <c r="AJ23" s="3">
        <f t="shared" si="27"/>
        <v>48.598326037217454</v>
      </c>
      <c r="AK23" s="3">
        <f t="shared" si="28"/>
        <v>49.131879863806326</v>
      </c>
      <c r="AL23" s="3">
        <f t="shared" si="29"/>
        <v>48.142739489533376</v>
      </c>
      <c r="AM23" s="24">
        <f t="shared" si="30"/>
        <v>0.9891403742729185</v>
      </c>
      <c r="AN23" s="28">
        <f t="shared" si="31"/>
        <v>0.4555865476840489</v>
      </c>
      <c r="AO23" s="3">
        <f t="shared" si="32"/>
        <v>71.13273349665124</v>
      </c>
      <c r="AP23" s="3">
        <f t="shared" si="33"/>
        <v>70.13306610984411</v>
      </c>
      <c r="AQ23" s="3">
        <f t="shared" si="34"/>
        <v>70.15640105448487</v>
      </c>
      <c r="AR23" s="3">
        <f t="shared" si="35"/>
        <v>69.15673366767894</v>
      </c>
      <c r="AS23" s="24">
        <f t="shared" si="36"/>
        <v>0.9996673868059079</v>
      </c>
      <c r="AT23" s="28">
        <f t="shared" si="37"/>
        <v>0.9763324421651747</v>
      </c>
      <c r="AU23" s="3">
        <f t="shared" si="38"/>
        <v>71.91248801100224</v>
      </c>
      <c r="AV23" s="3">
        <f t="shared" si="39"/>
        <v>70.91252133712767</v>
      </c>
      <c r="AW23" s="3">
        <f t="shared" si="40"/>
        <v>70.91488465459531</v>
      </c>
      <c r="AX23" s="3">
        <f t="shared" si="41"/>
        <v>69.91491798071122</v>
      </c>
      <c r="AY23" s="24">
        <f t="shared" si="42"/>
        <v>0.9999666738868832</v>
      </c>
      <c r="AZ23" s="28">
        <f t="shared" si="43"/>
        <v>0.9976033564192237</v>
      </c>
      <c r="BA23" s="3">
        <f t="shared" si="44"/>
        <v>71.99124088060412</v>
      </c>
      <c r="BB23" s="3">
        <f t="shared" si="45"/>
        <v>70.99124421392828</v>
      </c>
      <c r="BC23" s="3">
        <f t="shared" si="46"/>
        <v>70.99148084707073</v>
      </c>
      <c r="BD23" s="3">
        <f t="shared" si="47"/>
        <v>69.9914841803391</v>
      </c>
      <c r="BE23" s="24">
        <f t="shared" si="48"/>
        <v>0.9999966667388869</v>
      </c>
      <c r="BF23" s="28">
        <f t="shared" si="49"/>
        <v>0.9997600335964163</v>
      </c>
      <c r="BG23" s="3">
        <f t="shared" si="50"/>
        <v>71.99912398845686</v>
      </c>
      <c r="BH23" s="3">
        <f t="shared" si="51"/>
        <v>70.99912432091105</v>
      </c>
      <c r="BI23" s="3">
        <f t="shared" si="52"/>
        <v>70.99914798724247</v>
      </c>
      <c r="BJ23" s="3">
        <f t="shared" si="53"/>
        <v>69.99914832142206</v>
      </c>
      <c r="BK23" s="24">
        <f t="shared" si="54"/>
        <v>0.9999996666673888</v>
      </c>
      <c r="BL23" s="28">
        <f t="shared" si="55"/>
        <v>0.9999760003359968</v>
      </c>
      <c r="BM23" s="45">
        <f t="shared" si="56"/>
        <v>71.99991243853592</v>
      </c>
      <c r="BN23" s="45">
        <f t="shared" si="57"/>
        <v>70.9999124604401</v>
      </c>
      <c r="BO23" s="45">
        <f t="shared" si="58"/>
        <v>70.99991482710345</v>
      </c>
      <c r="BP23" s="45">
        <f t="shared" si="59"/>
        <v>69.99991486230358</v>
      </c>
      <c r="BQ23" s="45">
        <f t="shared" si="60"/>
        <v>0.9999999666666739</v>
      </c>
      <c r="BR23" s="240">
        <f t="shared" si="61"/>
        <v>0.9999976000033596</v>
      </c>
    </row>
    <row r="24" spans="1:70" ht="12.75">
      <c r="A24" s="12">
        <f t="shared" si="22"/>
        <v>72</v>
      </c>
      <c r="B24" s="10">
        <f t="shared" si="22"/>
        <v>460</v>
      </c>
      <c r="C24" s="12">
        <f t="shared" si="22"/>
        <v>0</v>
      </c>
      <c r="D24" s="37">
        <v>15</v>
      </c>
      <c r="E24" s="238">
        <f t="shared" si="23"/>
        <v>48.45722833308393</v>
      </c>
      <c r="F24" s="3">
        <f t="shared" si="24"/>
        <v>48.45722833308393</v>
      </c>
      <c r="G24" s="39">
        <f t="shared" si="0"/>
        <v>23398.704907236865</v>
      </c>
      <c r="H24" s="2">
        <f t="shared" si="2"/>
        <v>23398.704907236865</v>
      </c>
      <c r="I24" s="3">
        <f t="shared" si="3"/>
        <v>0</v>
      </c>
      <c r="J24" s="21">
        <f>IF(J$8&lt;&gt;" ",J$8+0.5," ")</f>
        <v>0.5000001</v>
      </c>
      <c r="K24" s="3">
        <f t="shared" si="25"/>
        <v>70.91861720928274</v>
      </c>
      <c r="L24" s="39">
        <f t="shared" si="4"/>
        <v>35110.72962381005</v>
      </c>
      <c r="M24" s="39">
        <f t="shared" si="5"/>
        <v>35110.72962381005</v>
      </c>
      <c r="N24" s="3">
        <f t="shared" si="1"/>
        <v>0</v>
      </c>
      <c r="O24" s="3">
        <f>IF(O$8&lt;&gt;" ",O$8+0.05," ")</f>
        <v>0.05</v>
      </c>
      <c r="P24" s="3">
        <f t="shared" si="6"/>
        <v>71.890637488196</v>
      </c>
      <c r="Q24" s="39">
        <f t="shared" si="7"/>
        <v>35625.76543633158</v>
      </c>
      <c r="R24" s="39">
        <f t="shared" si="8"/>
        <v>35625.76543633158</v>
      </c>
      <c r="S24" s="3">
        <f t="shared" si="9"/>
        <v>0</v>
      </c>
      <c r="T24" s="41">
        <f>IF(T$8&lt;&gt;" ",T$8+0.005," ")</f>
        <v>0.005</v>
      </c>
      <c r="U24" s="3">
        <f t="shared" si="10"/>
        <v>71.98905137594818</v>
      </c>
      <c r="V24" s="39">
        <f t="shared" si="11"/>
        <v>35677.944642515096</v>
      </c>
      <c r="W24" s="41">
        <f t="shared" si="12"/>
        <v>35677.944642515096</v>
      </c>
      <c r="X24" s="41">
        <f t="shared" si="13"/>
        <v>0</v>
      </c>
      <c r="Y24" s="24">
        <f>IF(Y$8&lt;&gt;" ",Y$8+0.0005," ")</f>
        <v>0.0005</v>
      </c>
      <c r="Z24" s="3">
        <f t="shared" si="14"/>
        <v>71.99890503102688</v>
      </c>
      <c r="AA24" s="39">
        <f t="shared" si="15"/>
        <v>35683.169403118314</v>
      </c>
      <c r="AB24" s="24">
        <f t="shared" si="16"/>
        <v>35683.169403118314</v>
      </c>
      <c r="AC24" s="24">
        <f t="shared" si="17"/>
        <v>0</v>
      </c>
      <c r="AD24" s="45">
        <f>IF(AD$8&lt;&gt;" ",AD$8+0.00005," ")</f>
        <v>5E-05</v>
      </c>
      <c r="AE24" s="45">
        <f t="shared" si="18"/>
        <v>71.99989069340344</v>
      </c>
      <c r="AF24" s="39">
        <f t="shared" si="19"/>
        <v>35683.69202772904</v>
      </c>
      <c r="AG24" s="45">
        <f t="shared" si="20"/>
        <v>35683.69202772904</v>
      </c>
      <c r="AH24" s="45">
        <f t="shared" si="21"/>
        <v>0</v>
      </c>
      <c r="AI24" s="31">
        <f t="shared" si="26"/>
        <v>48.45722833308393</v>
      </c>
      <c r="AJ24" s="3">
        <f t="shared" si="27"/>
        <v>47.46880759985558</v>
      </c>
      <c r="AK24" s="3">
        <f t="shared" si="28"/>
        <v>48.02490073717239</v>
      </c>
      <c r="AL24" s="3">
        <f t="shared" si="29"/>
        <v>47.03648000394401</v>
      </c>
      <c r="AM24" s="24">
        <f t="shared" si="30"/>
        <v>0.9884207332283691</v>
      </c>
      <c r="AN24" s="28">
        <f t="shared" si="31"/>
        <v>0.43232759591155645</v>
      </c>
      <c r="AO24" s="3">
        <f t="shared" si="32"/>
        <v>70.91861720928274</v>
      </c>
      <c r="AP24" s="3">
        <f t="shared" si="33"/>
        <v>69.91903275146385</v>
      </c>
      <c r="AQ24" s="3">
        <f t="shared" si="34"/>
        <v>69.94809913710772</v>
      </c>
      <c r="AR24" s="3">
        <f t="shared" si="35"/>
        <v>68.9485146792883</v>
      </c>
      <c r="AS24" s="24">
        <f t="shared" si="36"/>
        <v>0.9995844578194053</v>
      </c>
      <c r="AT24" s="28">
        <f t="shared" si="37"/>
        <v>0.97051807217552</v>
      </c>
      <c r="AU24" s="3">
        <f t="shared" si="38"/>
        <v>71.890637488196</v>
      </c>
      <c r="AV24" s="3">
        <f t="shared" si="39"/>
        <v>70.89067914357685</v>
      </c>
      <c r="AW24" s="3">
        <f t="shared" si="40"/>
        <v>70.89363224518313</v>
      </c>
      <c r="AX24" s="3">
        <f t="shared" si="41"/>
        <v>69.89367390056869</v>
      </c>
      <c r="AY24" s="24">
        <f t="shared" si="42"/>
        <v>0.9999583446141389</v>
      </c>
      <c r="AZ24" s="28">
        <f t="shared" si="43"/>
        <v>0.9970052430078674</v>
      </c>
      <c r="BA24" s="3">
        <f t="shared" si="44"/>
        <v>71.98905137594818</v>
      </c>
      <c r="BB24" s="3">
        <f t="shared" si="45"/>
        <v>70.9890555425129</v>
      </c>
      <c r="BC24" s="3">
        <f t="shared" si="46"/>
        <v>70.98935132346608</v>
      </c>
      <c r="BD24" s="3">
        <f t="shared" si="47"/>
        <v>69.98935549004592</v>
      </c>
      <c r="BE24" s="24">
        <f t="shared" si="48"/>
        <v>0.9999958334461766</v>
      </c>
      <c r="BF24" s="28">
        <f t="shared" si="49"/>
        <v>0.9997000524930015</v>
      </c>
      <c r="BG24" s="3">
        <f t="shared" si="50"/>
        <v>71.99890503102688</v>
      </c>
      <c r="BH24" s="3">
        <f t="shared" si="51"/>
        <v>70.99890544751952</v>
      </c>
      <c r="BI24" s="3">
        <f t="shared" si="52"/>
        <v>70.998935030329</v>
      </c>
      <c r="BJ24" s="3">
        <f t="shared" si="53"/>
        <v>69.99893544687802</v>
      </c>
      <c r="BK24" s="24">
        <f t="shared" si="54"/>
        <v>0.9999995833344619</v>
      </c>
      <c r="BL24" s="28">
        <f t="shared" si="55"/>
        <v>0.9999700005249929</v>
      </c>
      <c r="BM24" s="45">
        <f t="shared" si="56"/>
        <v>71.99989069340344</v>
      </c>
      <c r="BN24" s="45">
        <f t="shared" si="57"/>
        <v>70.9998907304432</v>
      </c>
      <c r="BO24" s="45">
        <f t="shared" si="58"/>
        <v>70.9998936887713</v>
      </c>
      <c r="BP24" s="45">
        <f t="shared" si="59"/>
        <v>69.99989372677683</v>
      </c>
      <c r="BQ24" s="45">
        <f t="shared" si="60"/>
        <v>0.9999999583333448</v>
      </c>
      <c r="BR24" s="240">
        <f t="shared" si="61"/>
        <v>0.9999970000052495</v>
      </c>
    </row>
    <row r="25" spans="1:70" ht="12.75">
      <c r="A25" s="12">
        <f t="shared" si="22"/>
        <v>72</v>
      </c>
      <c r="B25" s="10">
        <f t="shared" si="22"/>
        <v>460</v>
      </c>
      <c r="C25" s="12">
        <f t="shared" si="22"/>
        <v>0</v>
      </c>
      <c r="D25" s="37">
        <v>16</v>
      </c>
      <c r="E25" s="238">
        <f t="shared" si="23"/>
        <v>47.37253609690473</v>
      </c>
      <c r="F25" s="3">
        <f t="shared" si="24"/>
        <v>47.37253609690473</v>
      </c>
      <c r="G25" s="39">
        <f t="shared" si="0"/>
        <v>22843.63793497976</v>
      </c>
      <c r="H25" s="2">
        <f t="shared" si="2"/>
        <v>22843.63793497976</v>
      </c>
      <c r="I25" s="3">
        <f t="shared" si="3"/>
        <v>0</v>
      </c>
      <c r="J25" s="21">
        <f>IF(J$8&lt;&gt;" ",J$8+0.6," ")</f>
        <v>0.6000000999999999</v>
      </c>
      <c r="K25" s="3">
        <f t="shared" si="25"/>
        <v>70.70556727366746</v>
      </c>
      <c r="L25" s="39">
        <f t="shared" si="4"/>
        <v>34997.92352869638</v>
      </c>
      <c r="M25" s="39">
        <f t="shared" si="5"/>
        <v>34997.92352869638</v>
      </c>
      <c r="N25" s="3">
        <f t="shared" si="1"/>
        <v>0</v>
      </c>
      <c r="O25" s="3">
        <f>IF(O$8&lt;&gt;" ",O$8+0.06," ")</f>
        <v>0.06</v>
      </c>
      <c r="P25" s="3">
        <f t="shared" si="6"/>
        <v>71.8687979403694</v>
      </c>
      <c r="Q25" s="39">
        <f t="shared" si="7"/>
        <v>35614.186903550624</v>
      </c>
      <c r="R25" s="39">
        <f t="shared" si="8"/>
        <v>35614.186903550624</v>
      </c>
      <c r="S25" s="3">
        <f t="shared" si="9"/>
        <v>0</v>
      </c>
      <c r="T25" s="41">
        <f>IF(T$8&lt;&gt;" ",T$8+0.006," ")</f>
        <v>0.006</v>
      </c>
      <c r="U25" s="3">
        <f t="shared" si="10"/>
        <v>71.98686198055958</v>
      </c>
      <c r="V25" s="39">
        <f t="shared" si="11"/>
        <v>35676.7837548459</v>
      </c>
      <c r="W25" s="41">
        <f t="shared" si="12"/>
        <v>35676.7837548459</v>
      </c>
      <c r="X25" s="41">
        <f t="shared" si="13"/>
        <v>0</v>
      </c>
      <c r="Y25" s="24">
        <f>IF(Y$8&lt;&gt;" ",Y$8+0.0006," ")</f>
        <v>0.0006</v>
      </c>
      <c r="Z25" s="3">
        <f t="shared" si="14"/>
        <v>71.99868602785341</v>
      </c>
      <c r="AA25" s="39">
        <f t="shared" si="15"/>
        <v>35683.05327975073</v>
      </c>
      <c r="AB25" s="24">
        <f t="shared" si="16"/>
        <v>35683.05327975073</v>
      </c>
      <c r="AC25" s="24">
        <f t="shared" si="17"/>
        <v>0</v>
      </c>
      <c r="AD25" s="45">
        <f>IF(AD$8&lt;&gt;" ",AD$8+0.00006," ")</f>
        <v>6E-05</v>
      </c>
      <c r="AE25" s="45">
        <f t="shared" si="18"/>
        <v>71.99986872445707</v>
      </c>
      <c r="AF25" s="39">
        <f t="shared" si="19"/>
        <v>35683.680383769635</v>
      </c>
      <c r="AG25" s="45">
        <f t="shared" si="20"/>
        <v>35683.680383769635</v>
      </c>
      <c r="AH25" s="45">
        <f t="shared" si="21"/>
        <v>0</v>
      </c>
      <c r="AI25" s="31">
        <f t="shared" si="26"/>
        <v>47.37253609690473</v>
      </c>
      <c r="AJ25" s="3">
        <f t="shared" si="27"/>
        <v>46.3848282571943</v>
      </c>
      <c r="AK25" s="3">
        <f t="shared" si="28"/>
        <v>46.962093842237316</v>
      </c>
      <c r="AL25" s="3">
        <f t="shared" si="29"/>
        <v>45.974386002526884</v>
      </c>
      <c r="AM25" s="24">
        <f t="shared" si="30"/>
        <v>0.9877078397104215</v>
      </c>
      <c r="AN25" s="28">
        <f t="shared" si="31"/>
        <v>0.41044225466741585</v>
      </c>
      <c r="AO25" s="3">
        <f t="shared" si="32"/>
        <v>70.70556727366746</v>
      </c>
      <c r="AP25" s="3">
        <f t="shared" si="33"/>
        <v>69.70606565548894</v>
      </c>
      <c r="AQ25" s="3">
        <f t="shared" si="34"/>
        <v>69.74082321406266</v>
      </c>
      <c r="AR25" s="3">
        <f t="shared" si="35"/>
        <v>68.74132159588515</v>
      </c>
      <c r="AS25" s="24">
        <f t="shared" si="36"/>
        <v>0.9995016181775341</v>
      </c>
      <c r="AT25" s="28">
        <f t="shared" si="37"/>
        <v>0.964744059603842</v>
      </c>
      <c r="AU25" s="3">
        <f t="shared" si="38"/>
        <v>71.8687979403694</v>
      </c>
      <c r="AV25" s="3">
        <f t="shared" si="39"/>
        <v>70.86884792412378</v>
      </c>
      <c r="AW25" s="3">
        <f t="shared" si="40"/>
        <v>70.87239039244672</v>
      </c>
      <c r="AX25" s="3">
        <f t="shared" si="41"/>
        <v>69.87244037620185</v>
      </c>
      <c r="AY25" s="24">
        <f t="shared" si="42"/>
        <v>0.9999500162432323</v>
      </c>
      <c r="AZ25" s="28">
        <f t="shared" si="43"/>
        <v>0.9964075479203103</v>
      </c>
      <c r="BA25" s="3">
        <f t="shared" si="44"/>
        <v>71.98686198055958</v>
      </c>
      <c r="BB25" s="3">
        <f t="shared" si="45"/>
        <v>70.98686698033822</v>
      </c>
      <c r="BC25" s="3">
        <f t="shared" si="46"/>
        <v>70.98722190491283</v>
      </c>
      <c r="BD25" s="3">
        <f t="shared" si="47"/>
        <v>69.98722690477098</v>
      </c>
      <c r="BE25" s="24">
        <f t="shared" si="48"/>
        <v>0.9999950001624931</v>
      </c>
      <c r="BF25" s="28">
        <f t="shared" si="49"/>
        <v>0.9996400755879056</v>
      </c>
      <c r="BG25" s="3">
        <f t="shared" si="50"/>
        <v>71.99868602785341</v>
      </c>
      <c r="BH25" s="3">
        <f t="shared" si="51"/>
        <v>70.99868652734227</v>
      </c>
      <c r="BI25" s="3">
        <f t="shared" si="52"/>
        <v>70.99872202658793</v>
      </c>
      <c r="BJ25" s="3">
        <f t="shared" si="53"/>
        <v>69.99872252655057</v>
      </c>
      <c r="BK25" s="24">
        <f t="shared" si="54"/>
        <v>0.9999995000016251</v>
      </c>
      <c r="BL25" s="28">
        <f t="shared" si="55"/>
        <v>0.999964000755988</v>
      </c>
      <c r="BM25" s="45">
        <f t="shared" si="56"/>
        <v>71.99986872445707</v>
      </c>
      <c r="BN25" s="45">
        <f t="shared" si="57"/>
        <v>70.9998687806294</v>
      </c>
      <c r="BO25" s="45">
        <f t="shared" si="58"/>
        <v>70.99987233062183</v>
      </c>
      <c r="BP25" s="45">
        <f t="shared" si="59"/>
        <v>69.99987237676207</v>
      </c>
      <c r="BQ25" s="45">
        <f t="shared" si="60"/>
        <v>0.9999999500000164</v>
      </c>
      <c r="BR25" s="240">
        <f t="shared" si="61"/>
        <v>0.9999964000075595</v>
      </c>
    </row>
    <row r="26" spans="1:70" ht="12.75">
      <c r="A26" s="12">
        <f t="shared" si="22"/>
        <v>72</v>
      </c>
      <c r="B26" s="10">
        <f t="shared" si="22"/>
        <v>460</v>
      </c>
      <c r="C26" s="12">
        <f t="shared" si="22"/>
        <v>0</v>
      </c>
      <c r="D26" s="37">
        <v>17</v>
      </c>
      <c r="E26" s="238">
        <f t="shared" si="23"/>
        <v>46.33101176405427</v>
      </c>
      <c r="F26" s="3">
        <f t="shared" si="24"/>
        <v>46.33101176405427</v>
      </c>
      <c r="G26" s="39">
        <f t="shared" si="0"/>
        <v>22311.7141010389</v>
      </c>
      <c r="H26" s="2">
        <f t="shared" si="2"/>
        <v>22311.7141010389</v>
      </c>
      <c r="I26" s="3">
        <f t="shared" si="3"/>
        <v>0</v>
      </c>
      <c r="J26" s="21">
        <f>IF(J$8&lt;&gt;" ",J$8+0.7," ")</f>
        <v>0.7000000999999999</v>
      </c>
      <c r="K26" s="3">
        <f t="shared" si="25"/>
        <v>70.49357690028278</v>
      </c>
      <c r="L26" s="39">
        <f t="shared" si="4"/>
        <v>34885.70747860096</v>
      </c>
      <c r="M26" s="39">
        <f t="shared" si="5"/>
        <v>34885.70747860096</v>
      </c>
      <c r="N26" s="3">
        <f t="shared" si="1"/>
        <v>0</v>
      </c>
      <c r="O26" s="3">
        <f>IF(O$8&lt;&gt;" ",O$8+0.07," ")</f>
        <v>0.07</v>
      </c>
      <c r="P26" s="3">
        <f t="shared" si="6"/>
        <v>71.84696936105485</v>
      </c>
      <c r="Q26" s="39">
        <f t="shared" si="7"/>
        <v>35602.614487905674</v>
      </c>
      <c r="R26" s="39">
        <f t="shared" si="8"/>
        <v>35602.614487905674</v>
      </c>
      <c r="S26" s="3">
        <f t="shared" si="9"/>
        <v>0</v>
      </c>
      <c r="T26" s="41">
        <f>IF(T$8&lt;&gt;" ",T$8+0.007," ")</f>
        <v>0.007</v>
      </c>
      <c r="U26" s="3">
        <f t="shared" si="10"/>
        <v>71.98467269682958</v>
      </c>
      <c r="V26" s="39">
        <f t="shared" si="11"/>
        <v>35675.62292930224</v>
      </c>
      <c r="W26" s="41">
        <f t="shared" si="12"/>
        <v>35675.62292930224</v>
      </c>
      <c r="X26" s="41">
        <f t="shared" si="13"/>
        <v>0</v>
      </c>
      <c r="Y26" s="24">
        <f>IF(Y$8&lt;&gt;" ",Y$8+0.0007," ")</f>
        <v>0.0007</v>
      </c>
      <c r="Z26" s="3">
        <f t="shared" si="14"/>
        <v>71.9984670292764</v>
      </c>
      <c r="AA26" s="39">
        <f t="shared" si="15"/>
        <v>35682.9371586052</v>
      </c>
      <c r="AB26" s="24">
        <f t="shared" si="16"/>
        <v>35682.9371586052</v>
      </c>
      <c r="AC26" s="24">
        <f t="shared" si="17"/>
        <v>0</v>
      </c>
      <c r="AD26" s="45">
        <f>IF(AD$8&lt;&gt;" ",AD$8+0.00007," ")</f>
        <v>7E-05</v>
      </c>
      <c r="AE26" s="45">
        <f t="shared" si="18"/>
        <v>71.9998466923297</v>
      </c>
      <c r="AF26" s="39">
        <f t="shared" si="19"/>
        <v>35683.66871074805</v>
      </c>
      <c r="AG26" s="45">
        <f t="shared" si="20"/>
        <v>35683.66871074805</v>
      </c>
      <c r="AH26" s="45">
        <f t="shared" si="21"/>
        <v>0</v>
      </c>
      <c r="AI26" s="31">
        <f t="shared" si="26"/>
        <v>46.33101176405427</v>
      </c>
      <c r="AJ26" s="3">
        <f t="shared" si="27"/>
        <v>45.34401019095809</v>
      </c>
      <c r="AK26" s="3">
        <f t="shared" si="28"/>
        <v>45.941173172314066</v>
      </c>
      <c r="AL26" s="3">
        <f t="shared" si="29"/>
        <v>44.954171599217865</v>
      </c>
      <c r="AM26" s="24">
        <f t="shared" si="30"/>
        <v>0.9870015730961818</v>
      </c>
      <c r="AN26" s="28">
        <f t="shared" si="31"/>
        <v>0.3898385917401997</v>
      </c>
      <c r="AO26" s="3">
        <f t="shared" si="32"/>
        <v>70.49357690028278</v>
      </c>
      <c r="AP26" s="3">
        <f t="shared" si="33"/>
        <v>69.49415803258692</v>
      </c>
      <c r="AQ26" s="3">
        <f t="shared" si="34"/>
        <v>69.53456681565203</v>
      </c>
      <c r="AR26" s="3">
        <f t="shared" si="35"/>
        <v>68.53514794795653</v>
      </c>
      <c r="AS26" s="24">
        <f t="shared" si="36"/>
        <v>0.9994188676953691</v>
      </c>
      <c r="AT26" s="28">
        <f t="shared" si="37"/>
        <v>0.9590100846302828</v>
      </c>
      <c r="AU26" s="3">
        <f t="shared" si="38"/>
        <v>71.84696936105485</v>
      </c>
      <c r="AV26" s="3">
        <f t="shared" si="39"/>
        <v>70.84702767228484</v>
      </c>
      <c r="AW26" s="3">
        <f t="shared" si="40"/>
        <v>70.85115909023658</v>
      </c>
      <c r="AX26" s="3">
        <f t="shared" si="41"/>
        <v>69.85121740146606</v>
      </c>
      <c r="AY26" s="24">
        <f t="shared" si="42"/>
        <v>0.9999416887739762</v>
      </c>
      <c r="AZ26" s="28">
        <f t="shared" si="43"/>
        <v>0.995810270822211</v>
      </c>
      <c r="BA26" s="3">
        <f t="shared" si="44"/>
        <v>71.98467269682958</v>
      </c>
      <c r="BB26" s="3">
        <f t="shared" si="45"/>
        <v>70.98467852994199</v>
      </c>
      <c r="BC26" s="3">
        <f t="shared" si="46"/>
        <v>70.98509259394902</v>
      </c>
      <c r="BD26" s="3">
        <f t="shared" si="47"/>
        <v>69.98509842705242</v>
      </c>
      <c r="BE26" s="24">
        <f t="shared" si="48"/>
        <v>0.9999941668878365</v>
      </c>
      <c r="BF26" s="28">
        <f t="shared" si="49"/>
        <v>0.9995801028807949</v>
      </c>
      <c r="BG26" s="3">
        <f t="shared" si="50"/>
        <v>71.9984670292764</v>
      </c>
      <c r="BH26" s="3">
        <f t="shared" si="51"/>
        <v>70.9984676126986</v>
      </c>
      <c r="BI26" s="3">
        <f t="shared" si="52"/>
        <v>70.9985090283385</v>
      </c>
      <c r="BJ26" s="3">
        <f t="shared" si="53"/>
        <v>69.99850961155987</v>
      </c>
      <c r="BK26" s="24">
        <f t="shared" si="54"/>
        <v>0.9999994166688785</v>
      </c>
      <c r="BL26" s="28">
        <f t="shared" si="55"/>
        <v>0.9999580010289817</v>
      </c>
      <c r="BM26" s="45">
        <f t="shared" si="56"/>
        <v>71.9998466923297</v>
      </c>
      <c r="BN26" s="45">
        <f t="shared" si="57"/>
        <v>70.99984674707993</v>
      </c>
      <c r="BO26" s="45">
        <f t="shared" si="58"/>
        <v>70.99985088873635</v>
      </c>
      <c r="BP26" s="45">
        <f t="shared" si="59"/>
        <v>69.99985094986316</v>
      </c>
      <c r="BQ26" s="45">
        <f t="shared" si="60"/>
        <v>0.9999999416666888</v>
      </c>
      <c r="BR26" s="240">
        <f t="shared" si="61"/>
        <v>0.9999958000102901</v>
      </c>
    </row>
    <row r="27" spans="1:70" ht="12.75">
      <c r="A27" s="12">
        <f aca="true" t="shared" si="62" ref="A27:C29">A26</f>
        <v>72</v>
      </c>
      <c r="B27" s="10">
        <f t="shared" si="62"/>
        <v>460</v>
      </c>
      <c r="C27" s="12">
        <f t="shared" si="62"/>
        <v>0</v>
      </c>
      <c r="D27" s="37">
        <v>18</v>
      </c>
      <c r="E27" s="238">
        <f t="shared" si="23"/>
        <v>45.3304257592885</v>
      </c>
      <c r="F27" s="3">
        <f t="shared" si="24"/>
        <v>45.3304257592885</v>
      </c>
      <c r="G27" s="39">
        <f t="shared" si="0"/>
        <v>21801.68970784122</v>
      </c>
      <c r="H27" s="2">
        <f t="shared" si="2"/>
        <v>21801.68970784122</v>
      </c>
      <c r="I27" s="3">
        <f t="shared" si="3"/>
        <v>0</v>
      </c>
      <c r="J27" s="21">
        <f>IF(J$8&lt;&gt;" ",J$8+0.8," ")</f>
        <v>0.8000001</v>
      </c>
      <c r="K27" s="3">
        <f t="shared" si="25"/>
        <v>70.28263935122621</v>
      </c>
      <c r="L27" s="39">
        <f t="shared" si="4"/>
        <v>34774.07756145321</v>
      </c>
      <c r="M27" s="39">
        <f t="shared" si="5"/>
        <v>34774.07756145321</v>
      </c>
      <c r="N27" s="3">
        <f t="shared" si="1"/>
        <v>0</v>
      </c>
      <c r="O27" s="3">
        <f>IF(O$8&lt;&gt;" ",O$8+0.08," ")</f>
        <v>0.08</v>
      </c>
      <c r="P27" s="3">
        <f t="shared" si="6"/>
        <v>71.82515174323477</v>
      </c>
      <c r="Q27" s="39">
        <f t="shared" si="7"/>
        <v>35591.048185312255</v>
      </c>
      <c r="R27" s="39">
        <f t="shared" si="8"/>
        <v>35591.048185312255</v>
      </c>
      <c r="S27" s="3">
        <f t="shared" si="9"/>
        <v>0</v>
      </c>
      <c r="T27" s="41">
        <f>IF(T$8&lt;&gt;" ",T$8+0.008," ")</f>
        <v>0.008</v>
      </c>
      <c r="U27" s="3">
        <f t="shared" si="10"/>
        <v>71.98248352335212</v>
      </c>
      <c r="V27" s="39">
        <f t="shared" si="11"/>
        <v>35674.46216523648</v>
      </c>
      <c r="W27" s="41">
        <f t="shared" si="12"/>
        <v>35674.46216523648</v>
      </c>
      <c r="X27" s="41">
        <f t="shared" si="13"/>
        <v>0</v>
      </c>
      <c r="Y27" s="24">
        <f>IF(Y$8&lt;&gt;" ",Y$8+0.0008," ")</f>
        <v>0.0008</v>
      </c>
      <c r="Z27" s="3">
        <f t="shared" si="14"/>
        <v>71.99824803115655</v>
      </c>
      <c r="AA27" s="39">
        <f t="shared" si="15"/>
        <v>35682.82103777762</v>
      </c>
      <c r="AB27" s="24">
        <f t="shared" si="16"/>
        <v>35682.82103777762</v>
      </c>
      <c r="AC27" s="24">
        <f t="shared" si="17"/>
        <v>0</v>
      </c>
      <c r="AD27" s="45">
        <f>IF(AD$8&lt;&gt;" ",AD$8+0.00008," ")</f>
        <v>8E-05</v>
      </c>
      <c r="AE27" s="45">
        <f t="shared" si="18"/>
        <v>71.9998248138954</v>
      </c>
      <c r="AF27" s="39">
        <f t="shared" si="19"/>
        <v>35683.65710842634</v>
      </c>
      <c r="AG27" s="45">
        <f t="shared" si="20"/>
        <v>35683.65710842634</v>
      </c>
      <c r="AH27" s="45">
        <f t="shared" si="21"/>
        <v>0</v>
      </c>
      <c r="AI27" s="31">
        <f t="shared" si="26"/>
        <v>45.3304257592885</v>
      </c>
      <c r="AJ27" s="3">
        <f t="shared" si="27"/>
        <v>44.3441239433615</v>
      </c>
      <c r="AK27" s="3">
        <f t="shared" si="28"/>
        <v>44.95999422011014</v>
      </c>
      <c r="AL27" s="3">
        <f t="shared" si="29"/>
        <v>43.97369240418313</v>
      </c>
      <c r="AM27" s="24">
        <f t="shared" si="30"/>
        <v>0.9863018159269878</v>
      </c>
      <c r="AN27" s="28">
        <f t="shared" si="31"/>
        <v>0.3704315391783548</v>
      </c>
      <c r="AO27" s="3">
        <f t="shared" si="32"/>
        <v>70.28263935122621</v>
      </c>
      <c r="AP27" s="3">
        <f t="shared" si="33"/>
        <v>69.28330314503795</v>
      </c>
      <c r="AQ27" s="3">
        <f t="shared" si="34"/>
        <v>69.32932352094305</v>
      </c>
      <c r="AR27" s="3">
        <f t="shared" si="35"/>
        <v>68.3299873147542</v>
      </c>
      <c r="AS27" s="24">
        <f t="shared" si="36"/>
        <v>0.9993362061885515</v>
      </c>
      <c r="AT27" s="28">
        <f t="shared" si="37"/>
        <v>0.9533158302834356</v>
      </c>
      <c r="AU27" s="3">
        <f t="shared" si="38"/>
        <v>71.82515174323477</v>
      </c>
      <c r="AV27" s="3">
        <f t="shared" si="39"/>
        <v>70.82521838102356</v>
      </c>
      <c r="AW27" s="3">
        <f t="shared" si="40"/>
        <v>70.82993833185023</v>
      </c>
      <c r="AX27" s="3">
        <f t="shared" si="41"/>
        <v>69.83000496964462</v>
      </c>
      <c r="AY27" s="24">
        <f t="shared" si="42"/>
        <v>0.9999333622061827</v>
      </c>
      <c r="AZ27" s="28">
        <f t="shared" si="43"/>
        <v>0.9952134113795272</v>
      </c>
      <c r="BA27" s="3">
        <f t="shared" si="44"/>
        <v>71.98248352335212</v>
      </c>
      <c r="BB27" s="3">
        <f t="shared" si="45"/>
        <v>70.98249018969187</v>
      </c>
      <c r="BC27" s="3">
        <f t="shared" si="46"/>
        <v>70.98296338894278</v>
      </c>
      <c r="BD27" s="3">
        <f t="shared" si="47"/>
        <v>69.98297005529167</v>
      </c>
      <c r="BE27" s="24">
        <f t="shared" si="48"/>
        <v>0.9999933336222062</v>
      </c>
      <c r="BF27" s="28">
        <f t="shared" si="49"/>
        <v>0.9995201343713338</v>
      </c>
      <c r="BG27" s="3">
        <f t="shared" si="50"/>
        <v>71.99824803115655</v>
      </c>
      <c r="BH27" s="3">
        <f t="shared" si="51"/>
        <v>70.99824869810745</v>
      </c>
      <c r="BI27" s="3">
        <f t="shared" si="52"/>
        <v>70.99829603009968</v>
      </c>
      <c r="BJ27" s="3">
        <f t="shared" si="53"/>
        <v>69.99829669682458</v>
      </c>
      <c r="BK27" s="24">
        <f t="shared" si="54"/>
        <v>0.9999993333362222</v>
      </c>
      <c r="BL27" s="28">
        <f t="shared" si="55"/>
        <v>0.9999520013439714</v>
      </c>
      <c r="BM27" s="45">
        <f t="shared" si="56"/>
        <v>71.9998248138954</v>
      </c>
      <c r="BN27" s="45">
        <f t="shared" si="57"/>
        <v>70.99982488435285</v>
      </c>
      <c r="BO27" s="45">
        <f t="shared" si="58"/>
        <v>70.99982961767275</v>
      </c>
      <c r="BP27" s="45">
        <f t="shared" si="59"/>
        <v>69.99982968474599</v>
      </c>
      <c r="BQ27" s="45">
        <f t="shared" si="60"/>
        <v>0.9999999333333622</v>
      </c>
      <c r="BR27" s="240">
        <f t="shared" si="61"/>
        <v>0.9999952000134402</v>
      </c>
    </row>
    <row r="28" spans="1:70" ht="12.75">
      <c r="A28" s="12">
        <f t="shared" si="62"/>
        <v>72</v>
      </c>
      <c r="B28" s="10">
        <f t="shared" si="62"/>
        <v>460</v>
      </c>
      <c r="C28" s="12">
        <f t="shared" si="62"/>
        <v>0</v>
      </c>
      <c r="D28" s="37">
        <v>19</v>
      </c>
      <c r="E28" s="238">
        <f t="shared" si="23"/>
        <v>44.36868623954983</v>
      </c>
      <c r="F28" s="3">
        <f t="shared" si="24"/>
        <v>44.36868623954983</v>
      </c>
      <c r="G28" s="39">
        <f t="shared" si="0"/>
        <v>21312.40056491928</v>
      </c>
      <c r="H28" s="2">
        <f t="shared" si="2"/>
        <v>21312.40056491928</v>
      </c>
      <c r="I28" s="3">
        <f t="shared" si="3"/>
        <v>0</v>
      </c>
      <c r="J28" s="21">
        <f>IF(J$8&lt;&gt;" ",J$8+0.9," ")</f>
        <v>0.9000001</v>
      </c>
      <c r="K28" s="3">
        <f t="shared" si="25"/>
        <v>70.07274793961747</v>
      </c>
      <c r="L28" s="39">
        <f t="shared" si="4"/>
        <v>34663.0298958833</v>
      </c>
      <c r="M28" s="39">
        <f t="shared" si="5"/>
        <v>34663.0298958833</v>
      </c>
      <c r="N28" s="3">
        <f t="shared" si="1"/>
        <v>0</v>
      </c>
      <c r="O28" s="3">
        <f>IF(O$8&lt;&gt;" ",O$8+0.09," ")</f>
        <v>0.09</v>
      </c>
      <c r="P28" s="3">
        <f t="shared" si="6"/>
        <v>71.80334507979568</v>
      </c>
      <c r="Q28" s="39">
        <f t="shared" si="7"/>
        <v>35579.48799164254</v>
      </c>
      <c r="R28" s="39">
        <f t="shared" si="8"/>
        <v>35579.48799164254</v>
      </c>
      <c r="S28" s="3">
        <f t="shared" si="9"/>
        <v>0</v>
      </c>
      <c r="T28" s="41">
        <f>IF(T$8&lt;&gt;" ",T$8+0.009," ")</f>
        <v>0.009</v>
      </c>
      <c r="U28" s="3">
        <f t="shared" si="10"/>
        <v>71.98029445901716</v>
      </c>
      <c r="V28" s="39">
        <f t="shared" si="11"/>
        <v>35673.30146213713</v>
      </c>
      <c r="W28" s="41">
        <f t="shared" si="12"/>
        <v>35673.30146213713</v>
      </c>
      <c r="X28" s="41">
        <f t="shared" si="13"/>
        <v>0</v>
      </c>
      <c r="Y28" s="24">
        <f>IF(Y$8&lt;&gt;" ",Y$8+0.0009," ")</f>
        <v>0.0009</v>
      </c>
      <c r="Z28" s="3">
        <f t="shared" si="14"/>
        <v>71.9980290356348</v>
      </c>
      <c r="AA28" s="39">
        <f t="shared" si="15"/>
        <v>35682.70491825285</v>
      </c>
      <c r="AB28" s="24">
        <f t="shared" si="16"/>
        <v>35682.70491825285</v>
      </c>
      <c r="AC28" s="24">
        <f t="shared" si="17"/>
        <v>0</v>
      </c>
      <c r="AD28" s="45">
        <f>IF(AD$8&lt;&gt;" ",AD$8+0.00009," ")</f>
        <v>9E-05</v>
      </c>
      <c r="AE28" s="45">
        <f t="shared" si="18"/>
        <v>71.99980284844749</v>
      </c>
      <c r="AF28" s="39">
        <f t="shared" si="19"/>
        <v>35683.645466079455</v>
      </c>
      <c r="AG28" s="45">
        <f t="shared" si="20"/>
        <v>35683.645466079455</v>
      </c>
      <c r="AH28" s="45">
        <f t="shared" si="21"/>
        <v>0</v>
      </c>
      <c r="AI28" s="31">
        <f t="shared" si="26"/>
        <v>44.36868623954983</v>
      </c>
      <c r="AJ28" s="3">
        <f t="shared" si="27"/>
        <v>43.383077785750416</v>
      </c>
      <c r="AK28" s="3">
        <f t="shared" si="28"/>
        <v>44.016543911036386</v>
      </c>
      <c r="AL28" s="3">
        <f t="shared" si="29"/>
        <v>43.030935457236964</v>
      </c>
      <c r="AM28" s="24">
        <f t="shared" si="30"/>
        <v>0.9856084537994104</v>
      </c>
      <c r="AN28" s="28">
        <f t="shared" si="31"/>
        <v>0.3521423285134509</v>
      </c>
      <c r="AO28" s="3">
        <f t="shared" si="32"/>
        <v>70.07274793961747</v>
      </c>
      <c r="AP28" s="3">
        <f t="shared" si="33"/>
        <v>69.07349430614396</v>
      </c>
      <c r="AQ28" s="3">
        <f t="shared" si="34"/>
        <v>69.12508695720506</v>
      </c>
      <c r="AR28" s="3">
        <f t="shared" si="35"/>
        <v>68.12583332373185</v>
      </c>
      <c r="AS28" s="24">
        <f t="shared" si="36"/>
        <v>0.9992536334732854</v>
      </c>
      <c r="AT28" s="28">
        <f t="shared" si="37"/>
        <v>0.9476609824121957</v>
      </c>
      <c r="AU28" s="3">
        <f t="shared" si="38"/>
        <v>71.80334507979568</v>
      </c>
      <c r="AV28" s="3">
        <f t="shared" si="39"/>
        <v>70.8034200432593</v>
      </c>
      <c r="AW28" s="3">
        <f t="shared" si="40"/>
        <v>70.80872811054041</v>
      </c>
      <c r="AX28" s="3">
        <f t="shared" si="41"/>
        <v>69.80880307400007</v>
      </c>
      <c r="AY28" s="24">
        <f t="shared" si="42"/>
        <v>0.9999250365396641</v>
      </c>
      <c r="AZ28" s="28">
        <f t="shared" si="43"/>
        <v>0.9946169692585194</v>
      </c>
      <c r="BA28" s="3">
        <f t="shared" si="44"/>
        <v>71.98029445901716</v>
      </c>
      <c r="BB28" s="3">
        <f t="shared" si="45"/>
        <v>70.9803019586481</v>
      </c>
      <c r="BC28" s="3">
        <f t="shared" si="46"/>
        <v>70.98083428895451</v>
      </c>
      <c r="BD28" s="3">
        <f t="shared" si="47"/>
        <v>69.9808417885678</v>
      </c>
      <c r="BE28" s="24">
        <f t="shared" si="48"/>
        <v>0.9999925003656022</v>
      </c>
      <c r="BF28" s="28">
        <f t="shared" si="49"/>
        <v>0.9994601700591846</v>
      </c>
      <c r="BG28" s="3">
        <f t="shared" si="50"/>
        <v>71.9980290356348</v>
      </c>
      <c r="BH28" s="3">
        <f t="shared" si="51"/>
        <v>70.99802978555645</v>
      </c>
      <c r="BI28" s="3">
        <f t="shared" si="52"/>
        <v>70.99808303385916</v>
      </c>
      <c r="BJ28" s="3">
        <f t="shared" si="53"/>
        <v>69.99808378396231</v>
      </c>
      <c r="BK28" s="24">
        <f t="shared" si="54"/>
        <v>0.9999992500036562</v>
      </c>
      <c r="BL28" s="28">
        <f t="shared" si="55"/>
        <v>0.9999460017009595</v>
      </c>
      <c r="BM28" s="45">
        <f t="shared" si="56"/>
        <v>71.99980284844749</v>
      </c>
      <c r="BN28" s="45">
        <f t="shared" si="57"/>
        <v>70.99980292234713</v>
      </c>
      <c r="BO28" s="45">
        <f t="shared" si="58"/>
        <v>70.99980824733017</v>
      </c>
      <c r="BP28" s="45">
        <f t="shared" si="59"/>
        <v>69.99980832320492</v>
      </c>
      <c r="BQ28" s="45">
        <f t="shared" si="60"/>
        <v>0.9999999250000365</v>
      </c>
      <c r="BR28" s="240">
        <f t="shared" si="61"/>
        <v>0.9999946000170095</v>
      </c>
    </row>
    <row r="29" spans="1:70" ht="12.75">
      <c r="A29" s="12">
        <f t="shared" si="62"/>
        <v>72</v>
      </c>
      <c r="B29" s="10">
        <f t="shared" si="62"/>
        <v>460</v>
      </c>
      <c r="C29" s="12">
        <f t="shared" si="62"/>
        <v>0</v>
      </c>
      <c r="D29" s="37">
        <v>20</v>
      </c>
      <c r="E29" s="238">
        <f t="shared" si="23"/>
        <v>43.443829316715686</v>
      </c>
      <c r="F29" s="3">
        <f t="shared" si="24"/>
        <v>43.443829316715686</v>
      </c>
      <c r="G29" s="39">
        <f t="shared" si="0"/>
        <v>20842.75617340355</v>
      </c>
      <c r="H29" s="2">
        <f t="shared" si="2"/>
        <v>20842.75617340355</v>
      </c>
      <c r="I29" s="3">
        <f t="shared" si="3"/>
        <v>0</v>
      </c>
      <c r="J29" s="21">
        <f>IF(J$8&lt;&gt;" ",J$8+1," ")</f>
        <v>1.0000001</v>
      </c>
      <c r="K29" s="3">
        <f t="shared" si="25"/>
        <v>69.86389602922851</v>
      </c>
      <c r="L29" s="39">
        <f t="shared" si="4"/>
        <v>34552.56063098056</v>
      </c>
      <c r="M29" s="39">
        <f t="shared" si="5"/>
        <v>34552.56063098056</v>
      </c>
      <c r="N29" s="3">
        <f t="shared" si="1"/>
        <v>0</v>
      </c>
      <c r="O29" s="3">
        <f>IF(O$8&lt;&gt;" ",O$8+0.1," ")</f>
        <v>0.1</v>
      </c>
      <c r="P29" s="3">
        <f t="shared" si="6"/>
        <v>71.78154936366586</v>
      </c>
      <c r="Q29" s="39">
        <f t="shared" si="7"/>
        <v>35567.93390278869</v>
      </c>
      <c r="R29" s="39">
        <f t="shared" si="8"/>
        <v>35567.93390278869</v>
      </c>
      <c r="S29" s="3">
        <f t="shared" si="9"/>
        <v>0</v>
      </c>
      <c r="T29" s="41">
        <f>IF(T$8&lt;&gt;" ",T$8+0.01," ")</f>
        <v>0.01</v>
      </c>
      <c r="U29" s="3">
        <f t="shared" si="10"/>
        <v>71.97810550379432</v>
      </c>
      <c r="V29" s="39">
        <f t="shared" si="11"/>
        <v>35672.140819989356</v>
      </c>
      <c r="W29" s="41">
        <f t="shared" si="12"/>
        <v>35672.140819989356</v>
      </c>
      <c r="X29" s="41">
        <f t="shared" si="13"/>
        <v>0</v>
      </c>
      <c r="Y29" s="24">
        <f>IF(Y$8&lt;&gt;" ",Y$8+0.001," ")</f>
        <v>0.001</v>
      </c>
      <c r="Z29" s="3">
        <f t="shared" si="14"/>
        <v>71.9978100621141</v>
      </c>
      <c r="AA29" s="39">
        <f t="shared" si="15"/>
        <v>35682.588808956214</v>
      </c>
      <c r="AB29" s="24">
        <f t="shared" si="16"/>
        <v>35682.588808956214</v>
      </c>
      <c r="AC29" s="24">
        <f t="shared" si="17"/>
        <v>0</v>
      </c>
      <c r="AD29" s="45">
        <f>IF(AD$8&lt;&gt;" ",AD$8+0.0001," ")</f>
        <v>0.0001</v>
      </c>
      <c r="AE29" s="45">
        <f t="shared" si="18"/>
        <v>71.99978098462857</v>
      </c>
      <c r="AF29" s="39">
        <f t="shared" si="19"/>
        <v>35683.633870482976</v>
      </c>
      <c r="AG29" s="45">
        <f t="shared" si="20"/>
        <v>35683.633870482976</v>
      </c>
      <c r="AH29" s="45">
        <f t="shared" si="21"/>
        <v>0</v>
      </c>
      <c r="AI29" s="31">
        <f t="shared" si="26"/>
        <v>43.443829316715686</v>
      </c>
      <c r="AJ29" s="3">
        <f t="shared" si="27"/>
        <v>42.45890794145479</v>
      </c>
      <c r="AK29" s="3">
        <f t="shared" si="28"/>
        <v>43.10893134003529</v>
      </c>
      <c r="AL29" s="3">
        <f t="shared" si="29"/>
        <v>42.12400996477439</v>
      </c>
      <c r="AM29" s="24">
        <f t="shared" si="30"/>
        <v>0.9849213752608887</v>
      </c>
      <c r="AN29" s="28">
        <f t="shared" si="31"/>
        <v>0.3348979766803841</v>
      </c>
      <c r="AO29" s="3">
        <f t="shared" si="32"/>
        <v>69.86389602922851</v>
      </c>
      <c r="AP29" s="3">
        <f t="shared" si="33"/>
        <v>68.8647248798625</v>
      </c>
      <c r="AQ29" s="3">
        <f t="shared" si="34"/>
        <v>68.92185079957092</v>
      </c>
      <c r="AR29" s="3">
        <f t="shared" si="35"/>
        <v>67.92267965020459</v>
      </c>
      <c r="AS29" s="24">
        <f t="shared" si="36"/>
        <v>0.9991711493663372</v>
      </c>
      <c r="AT29" s="28">
        <f t="shared" si="37"/>
        <v>0.9420452296578993</v>
      </c>
      <c r="AU29" s="3">
        <f t="shared" si="38"/>
        <v>71.78154936366586</v>
      </c>
      <c r="AV29" s="3">
        <f t="shared" si="39"/>
        <v>70.78163265189691</v>
      </c>
      <c r="AW29" s="3">
        <f t="shared" si="40"/>
        <v>70.78752841954535</v>
      </c>
      <c r="AX29" s="3">
        <f t="shared" si="41"/>
        <v>69.78761170777116</v>
      </c>
      <c r="AY29" s="24">
        <f t="shared" si="42"/>
        <v>0.9999167117742331</v>
      </c>
      <c r="AZ29" s="28">
        <f t="shared" si="43"/>
        <v>0.9940209441257494</v>
      </c>
      <c r="BA29" s="3">
        <f t="shared" si="44"/>
        <v>71.97810550379432</v>
      </c>
      <c r="BB29" s="3">
        <f t="shared" si="45"/>
        <v>70.978113836696</v>
      </c>
      <c r="BC29" s="3">
        <f t="shared" si="46"/>
        <v>70.97870529387</v>
      </c>
      <c r="BD29" s="3">
        <f t="shared" si="47"/>
        <v>69.97871362677772</v>
      </c>
      <c r="BE29" s="24">
        <f t="shared" si="48"/>
        <v>0.9999916671180241</v>
      </c>
      <c r="BF29" s="28">
        <f t="shared" si="49"/>
        <v>0.9994002099440129</v>
      </c>
      <c r="BG29" s="3">
        <f t="shared" si="50"/>
        <v>71.9978100621141</v>
      </c>
      <c r="BH29" s="3">
        <f t="shared" si="51"/>
        <v>70.9978108951559</v>
      </c>
      <c r="BI29" s="3">
        <f t="shared" si="52"/>
        <v>70.99787005972715</v>
      </c>
      <c r="BJ29" s="3">
        <f t="shared" si="53"/>
        <v>69.9978708931277</v>
      </c>
      <c r="BK29" s="24">
        <f t="shared" si="54"/>
        <v>0.9999991666711806</v>
      </c>
      <c r="BL29" s="28">
        <f t="shared" si="55"/>
        <v>0.9999400020999435</v>
      </c>
      <c r="BM29" s="45">
        <f t="shared" si="56"/>
        <v>71.99978098462857</v>
      </c>
      <c r="BN29" s="45">
        <f t="shared" si="57"/>
        <v>70.99978106670756</v>
      </c>
      <c r="BO29" s="45">
        <f t="shared" si="58"/>
        <v>70.99978698335326</v>
      </c>
      <c r="BP29" s="45">
        <f t="shared" si="59"/>
        <v>69.9997870646991</v>
      </c>
      <c r="BQ29" s="45">
        <f t="shared" si="60"/>
        <v>0.9999999166667118</v>
      </c>
      <c r="BR29" s="240">
        <f t="shared" si="61"/>
        <v>0.9999940000209989</v>
      </c>
    </row>
    <row r="30" ht="12.75">
      <c r="A30" s="3"/>
    </row>
    <row r="31" ht="12.75">
      <c r="A31" s="3"/>
    </row>
    <row r="32" ht="12.75">
      <c r="A32" s="3"/>
    </row>
    <row r="33" ht="12.75">
      <c r="A33" s="3"/>
    </row>
    <row r="34" ht="12.75">
      <c r="A34" s="3"/>
    </row>
    <row r="35" ht="12.75">
      <c r="A35" s="3"/>
    </row>
    <row r="36" ht="12.75">
      <c r="A36" s="3"/>
    </row>
    <row r="37" ht="12.75">
      <c r="A37" s="3"/>
    </row>
    <row r="38" ht="12.75">
      <c r="A38" s="3"/>
    </row>
    <row r="39" ht="12.75">
      <c r="A39" s="3"/>
    </row>
    <row r="40" ht="12.75">
      <c r="A40" s="3"/>
    </row>
    <row r="41" ht="12.75">
      <c r="A41" s="3"/>
    </row>
    <row r="42" ht="12.75">
      <c r="A42" s="3"/>
    </row>
    <row r="43" ht="12.75">
      <c r="A43" s="3"/>
    </row>
    <row r="44" ht="12.75">
      <c r="A44" s="3"/>
    </row>
    <row r="45" ht="12.75">
      <c r="A45" s="3"/>
    </row>
    <row r="46" ht="12.75">
      <c r="A46" s="3"/>
    </row>
    <row r="47" ht="12.75">
      <c r="A47" s="3"/>
    </row>
    <row r="48" ht="12.75">
      <c r="A48" s="3"/>
    </row>
    <row r="49" ht="12.75">
      <c r="A49" s="3"/>
    </row>
    <row r="50" ht="12.75">
      <c r="A50" s="3"/>
    </row>
    <row r="51" ht="12.75">
      <c r="A51" s="3"/>
    </row>
    <row r="52" ht="12.75">
      <c r="A52" s="3"/>
    </row>
    <row r="53" ht="12.75">
      <c r="A53" s="3"/>
    </row>
    <row r="54" ht="12.75">
      <c r="A54" s="3"/>
    </row>
    <row r="55" ht="12.75">
      <c r="A55" s="3"/>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Stiftung Warentest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TENNER</dc:creator>
  <cp:keywords/>
  <dc:description/>
  <cp:lastModifiedBy>Meusel</cp:lastModifiedBy>
  <cp:lastPrinted>2001-04-20T11:16:47Z</cp:lastPrinted>
  <dcterms:created xsi:type="dcterms:W3CDTF">2001-02-12T13:12:48Z</dcterms:created>
  <dcterms:modified xsi:type="dcterms:W3CDTF">2006-03-14T10:10:09Z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